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<sst xmlns="http://schemas.openxmlformats.org/spreadsheetml/2006/main" count="41" uniqueCount="37">
  <si>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f</t>
  </si>
  <si>
    <t>t_open</t>
  </si>
  <si>
    <t>t_blocked</t>
  </si>
  <si>
    <t>t_phase</t>
  </si>
  <si>
    <t>t_1</t>
  </si>
  <si>
    <t>t_2</t>
  </si>
  <si>
    <t>E_1</t>
  </si>
  <si>
    <t>E_2</t>
  </si>
  <si>
    <t>L_chop =</t>
  </si>
  <si>
    <t>R_0 =</t>
  </si>
  <si>
    <t>W_G =</t>
  </si>
  <si>
    <t>PI =</t>
  </si>
  <si>
    <t>E_3</t>
  </si>
  <si>
    <t>t_3</t>
  </si>
  <si>
    <t>h_G =</t>
  </si>
  <si>
    <t>r_0 =</t>
  </si>
  <si>
    <t>r_1 =</t>
  </si>
  <si>
    <t>r_2 =</t>
  </si>
  <si>
    <t>R_1 =</t>
  </si>
  <si>
    <t>delta =</t>
  </si>
  <si>
    <t>R_2 =</t>
  </si>
  <si>
    <t>h_B</t>
  </si>
  <si>
    <t>R_B</t>
  </si>
  <si>
    <t>W_B</t>
  </si>
  <si>
    <t>omega</t>
  </si>
  <si>
    <t>t_4</t>
  </si>
  <si>
    <t>E_4</t>
  </si>
  <si>
    <t>E_5</t>
  </si>
  <si>
    <t>Freq f=</t>
  </si>
  <si>
    <t>omega=</t>
  </si>
  <si>
    <t>R_c=</t>
  </si>
  <si>
    <t>theta=</t>
  </si>
  <si>
    <t>T_I=</t>
  </si>
  <si>
    <t>rads</t>
  </si>
  <si>
    <t>degs</t>
  </si>
  <si>
    <t>Full t_open=</t>
  </si>
  <si>
    <t>phase_shift=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</si>
</sst>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workbookViewId="0" topLeftCell="A1">
      <selection activeCell="N8" sqref="N8"/>
    </sheetView>
  </sheetViews>
  <sheetFormatPr defaultColWidth="9.140625" defaultRowHeight="12.75"/>
  <sheetData>
    <row r="2" spans="1:12" ht="12.75">
      <c r="A2" s="2"/>
      <c r="B2" s="2"/>
      <c r="C2" s="2" t="s">
        <v>10</v>
      </c>
      <c r="D2" s="6">
        <v>0.06</v>
      </c>
      <c r="E2" s="3"/>
      <c r="F2" s="2" t="s">
        <v>9</v>
      </c>
      <c r="G2" s="6">
        <v>0.25</v>
      </c>
      <c r="I2" s="2" t="s">
        <v>14</v>
      </c>
      <c r="J2" s="6">
        <v>0.17</v>
      </c>
      <c r="K2" s="3"/>
      <c r="L2" s="3"/>
    </row>
    <row r="3" spans="4:7" ht="12.75">
      <c r="D3" s="7"/>
      <c r="G3" s="7"/>
    </row>
    <row r="4" spans="1:14" ht="12.75">
      <c r="A4" s="2"/>
      <c r="B4" s="2"/>
      <c r="C4" s="2" t="s">
        <v>8</v>
      </c>
      <c r="D4" s="6">
        <v>8.335</v>
      </c>
      <c r="E4" s="3"/>
      <c r="F4" s="2" t="s">
        <v>19</v>
      </c>
      <c r="G4" s="6">
        <v>0.005</v>
      </c>
      <c r="I4" s="2" t="s">
        <v>11</v>
      </c>
      <c r="J4" s="3">
        <f>2*ASIN(1)</f>
        <v>3.141592653589793</v>
      </c>
      <c r="K4" s="3"/>
      <c r="L4" s="17" t="s">
        <v>36</v>
      </c>
      <c r="M4" s="17"/>
      <c r="N4" s="3">
        <v>-100</v>
      </c>
    </row>
    <row r="5" spans="1:13" ht="12.75">
      <c r="A5" s="2"/>
      <c r="B5" s="2"/>
      <c r="C5" s="2"/>
      <c r="D5" s="6"/>
      <c r="E5" s="3"/>
      <c r="G5" s="8"/>
      <c r="H5" s="3"/>
      <c r="J5" s="2"/>
      <c r="K5" s="2"/>
      <c r="L5" s="2"/>
      <c r="M5" s="3"/>
    </row>
    <row r="6" spans="1:13" ht="12.75">
      <c r="A6" s="2"/>
      <c r="B6" s="2"/>
      <c r="C6" s="2" t="s">
        <v>15</v>
      </c>
      <c r="D6" s="6">
        <f>SQRT(($D$2/2)^2+$G$6^2)</f>
        <v>0.1677050983124842</v>
      </c>
      <c r="E6" s="3"/>
      <c r="F6" s="2" t="s">
        <v>16</v>
      </c>
      <c r="G6" s="6">
        <f>$G$2-0.5*$J$2</f>
        <v>0.16499999999999998</v>
      </c>
      <c r="H6" s="3"/>
      <c r="I6" s="2" t="s">
        <v>17</v>
      </c>
      <c r="J6" s="6">
        <f>SQRT(($D$2/2)^2+($G$2+0.5*$J$2)^2)</f>
        <v>0.3363406011768428</v>
      </c>
      <c r="K6" s="2"/>
      <c r="L6" s="2"/>
      <c r="M6" s="3"/>
    </row>
    <row r="7" spans="1:13" ht="12.75">
      <c r="A7" s="2"/>
      <c r="B7" s="2"/>
      <c r="C7" s="2"/>
      <c r="D7" s="3"/>
      <c r="E7" s="3"/>
      <c r="G7" s="2"/>
      <c r="H7" s="3"/>
      <c r="J7" s="2"/>
      <c r="K7" s="2"/>
      <c r="L7" s="2"/>
      <c r="M7" s="3"/>
    </row>
    <row r="8" spans="1:13" ht="12.75">
      <c r="A8" s="2"/>
      <c r="B8" s="2"/>
      <c r="C8" s="2"/>
      <c r="D8" s="3"/>
      <c r="E8" s="3"/>
      <c r="F8" s="2" t="s">
        <v>18</v>
      </c>
      <c r="G8" s="6">
        <f>$G$6-$G$4</f>
        <v>0.15999999999999998</v>
      </c>
      <c r="H8" s="3"/>
      <c r="I8" s="2" t="s">
        <v>20</v>
      </c>
      <c r="J8" s="6">
        <f>$J$6+$G$4</f>
        <v>0.3413406011768428</v>
      </c>
      <c r="K8" s="2"/>
      <c r="L8" s="2"/>
      <c r="M8" s="3"/>
    </row>
    <row r="10" spans="1:17" ht="12.75">
      <c r="A10" s="1" t="s">
        <v>23</v>
      </c>
      <c r="B10" s="1" t="s">
        <v>21</v>
      </c>
      <c r="C10" s="1" t="s">
        <v>22</v>
      </c>
      <c r="D10" s="1" t="s">
        <v>0</v>
      </c>
      <c r="E10" s="1" t="s">
        <v>24</v>
      </c>
      <c r="F10" s="1" t="s">
        <v>1</v>
      </c>
      <c r="G10" s="1" t="s">
        <v>2</v>
      </c>
      <c r="H10" s="1" t="s">
        <v>3</v>
      </c>
      <c r="I10" s="1" t="s">
        <v>4</v>
      </c>
      <c r="J10" s="1" t="s">
        <v>5</v>
      </c>
      <c r="K10" s="1" t="s">
        <v>13</v>
      </c>
      <c r="L10" s="1" t="s">
        <v>25</v>
      </c>
      <c r="M10" s="1" t="s">
        <v>6</v>
      </c>
      <c r="N10" s="1" t="s">
        <v>7</v>
      </c>
      <c r="O10" s="1" t="s">
        <v>12</v>
      </c>
      <c r="P10" s="1" t="s">
        <v>26</v>
      </c>
      <c r="Q10" s="1" t="s">
        <v>27</v>
      </c>
    </row>
    <row r="11" spans="1:17" ht="12.75">
      <c r="A11" s="7">
        <v>0.06</v>
      </c>
      <c r="B11" s="7">
        <f>$J$8-SQRT($G$8^2-(A11/2)^2)</f>
        <v>0.18417826472182572</v>
      </c>
      <c r="C11" s="7">
        <f>$J$8-(B11/2)</f>
        <v>0.2492514688159299</v>
      </c>
      <c r="D11">
        <v>30</v>
      </c>
      <c r="E11" s="4">
        <f>2*$J$4*D11</f>
        <v>188.49555921538757</v>
      </c>
      <c r="F11" s="4">
        <f>1000000*((ASIN(0.5*$D$2/$D$6)+ASIN(0.5*$D$2/$J$6)+ACOS(0.5*A11/$J$6)-ACOS(0.5*A11/$D$6))/E11)</f>
        <v>1908.304901623339</v>
      </c>
      <c r="G11" s="4">
        <f>1000000*2*(ATAN(0.5*A11/$J$6)-ATAN(0.5*$D$2/$J$6))/E11</f>
        <v>0</v>
      </c>
      <c r="H11" s="4">
        <f aca="true" t="shared" si="0" ref="H11:H22">G11/2</f>
        <v>0</v>
      </c>
      <c r="I11" s="4">
        <f>G11-H11</f>
        <v>0</v>
      </c>
      <c r="J11" s="4">
        <f>I11+F11</f>
        <v>1908.304901623339</v>
      </c>
      <c r="K11" s="4">
        <f aca="true" t="shared" si="1" ref="K11:K22">16667-H11-F11</f>
        <v>14758.695098376662</v>
      </c>
      <c r="L11" s="4">
        <f>16667-H11</f>
        <v>16667</v>
      </c>
      <c r="M11" s="4" t="e">
        <f>(2284*$D$4/I11)^2</f>
        <v>#DIV/0!</v>
      </c>
      <c r="N11" s="4">
        <f>(2284*$D$4/J11)^2</f>
        <v>99.51942906585539</v>
      </c>
      <c r="O11" s="5">
        <f>(2284*$D$4/K11)^2</f>
        <v>1.6638243890497704</v>
      </c>
      <c r="P11" s="5">
        <f>(2284*$D$4/L11)^2</f>
        <v>1.3046335319034308</v>
      </c>
      <c r="Q11" s="5">
        <f>(2284*$D$4/(16667+I11))^2</f>
        <v>1.3046335319034308</v>
      </c>
    </row>
    <row r="12" spans="1:17" ht="12.75">
      <c r="A12" s="7">
        <v>0.06</v>
      </c>
      <c r="B12" s="7">
        <f aca="true" t="shared" si="2" ref="B12:B33">$J$8-SQRT($G$8^2-(A12/2)^2)</f>
        <v>0.18417826472182572</v>
      </c>
      <c r="C12" s="7">
        <f aca="true" t="shared" si="3" ref="C12:C33">$J$8-(B12/2)</f>
        <v>0.2492514688159299</v>
      </c>
      <c r="D12">
        <v>60</v>
      </c>
      <c r="E12" s="4">
        <f aca="true" t="shared" si="4" ref="E12:E33">2*$J$4*D12</f>
        <v>376.99111843077515</v>
      </c>
      <c r="F12" s="4">
        <f aca="true" t="shared" si="5" ref="F12:F33">1000000*((ASIN(0.5*$D$2/$D$6)+ASIN(0.5*$D$2/$J$6)+ACOS(0.5*A12/$J$6)-ACOS(0.5*A12/$D$6))/E12)</f>
        <v>954.1524508116695</v>
      </c>
      <c r="G12" s="4">
        <f aca="true" t="shared" si="6" ref="G12:G33">1000000*2*(ATAN(0.5*A12/$J$6)-ATAN(0.5*$D$2/$J$6))/E12</f>
        <v>0</v>
      </c>
      <c r="H12" s="4">
        <f t="shared" si="0"/>
        <v>0</v>
      </c>
      <c r="I12" s="4">
        <f aca="true" t="shared" si="7" ref="I12:I22">G12-H12</f>
        <v>0</v>
      </c>
      <c r="J12" s="4">
        <f aca="true" t="shared" si="8" ref="J12:J22">I12+F12</f>
        <v>954.1524508116695</v>
      </c>
      <c r="K12" s="4">
        <f t="shared" si="1"/>
        <v>15712.847549188331</v>
      </c>
      <c r="L12" s="4">
        <f aca="true" t="shared" si="9" ref="L12:L33">16667-H12</f>
        <v>16667</v>
      </c>
      <c r="M12" s="4" t="e">
        <f aca="true" t="shared" si="10" ref="M12:M22">(2284*$D$4/I12)^2</f>
        <v>#DIV/0!</v>
      </c>
      <c r="N12" s="4">
        <f aca="true" t="shared" si="11" ref="N12:N22">(2284*$D$4/J12)^2</f>
        <v>398.07771626342156</v>
      </c>
      <c r="O12" s="5">
        <f aca="true" t="shared" si="12" ref="O12:O22">(2284*$D$4/K12)^2</f>
        <v>1.4678903443445985</v>
      </c>
      <c r="P12" s="5">
        <f aca="true" t="shared" si="13" ref="P12:P33">(2284*$D$4/L12)^2</f>
        <v>1.3046335319034308</v>
      </c>
      <c r="Q12" s="5">
        <f aca="true" t="shared" si="14" ref="Q12:Q33">(2284*$D$4/(16667+I12))^2</f>
        <v>1.3046335319034308</v>
      </c>
    </row>
    <row r="13" spans="1:17" ht="12.75">
      <c r="A13" s="7">
        <v>0.07</v>
      </c>
      <c r="B13" s="7">
        <f t="shared" si="2"/>
        <v>0.18521565121688285</v>
      </c>
      <c r="C13" s="7">
        <f t="shared" si="3"/>
        <v>0.24873277556840134</v>
      </c>
      <c r="D13">
        <v>30</v>
      </c>
      <c r="E13" s="4">
        <f t="shared" si="4"/>
        <v>188.49555921538757</v>
      </c>
      <c r="F13" s="4">
        <f t="shared" si="5"/>
        <v>1990.3002216816076</v>
      </c>
      <c r="G13" s="4">
        <f>1000000*2*(ATAN(0.5*A13/$J$6)-ATAN(0.5*$D$2/$J$6))/E13</f>
        <v>156.27004931189495</v>
      </c>
      <c r="H13" s="4">
        <f t="shared" si="0"/>
        <v>78.13502465594748</v>
      </c>
      <c r="I13" s="4">
        <f>G13-H13</f>
        <v>78.13502465594748</v>
      </c>
      <c r="J13" s="4">
        <f>I13+F13</f>
        <v>2068.435246337555</v>
      </c>
      <c r="K13" s="4">
        <f>16667-H13-F13</f>
        <v>14598.564753662444</v>
      </c>
      <c r="L13" s="4">
        <f>16667-H13</f>
        <v>16588.86497534405</v>
      </c>
      <c r="M13" s="4">
        <f>(2284*$D$4/I13)^2</f>
        <v>59362.46142970524</v>
      </c>
      <c r="N13" s="4">
        <f>(2284*$D$4/J13)^2</f>
        <v>84.70704824550211</v>
      </c>
      <c r="O13" s="5">
        <f t="shared" si="12"/>
        <v>1.7005252557603445</v>
      </c>
      <c r="P13" s="5"/>
      <c r="Q13" s="5"/>
    </row>
    <row r="14" spans="1:17" ht="12.75">
      <c r="A14" s="7">
        <v>0.07</v>
      </c>
      <c r="B14" s="7">
        <f t="shared" si="2"/>
        <v>0.18521565121688285</v>
      </c>
      <c r="C14" s="7">
        <f t="shared" si="3"/>
        <v>0.24873277556840134</v>
      </c>
      <c r="D14">
        <v>60</v>
      </c>
      <c r="E14" s="4">
        <f t="shared" si="4"/>
        <v>376.99111843077515</v>
      </c>
      <c r="F14" s="4">
        <f t="shared" si="5"/>
        <v>995.1501108408038</v>
      </c>
      <c r="G14" s="4">
        <f>1000000*2*(ATAN(0.5*A14/$J$6)-ATAN(0.5*$D$2/$J$6))/E14</f>
        <v>78.13502465594748</v>
      </c>
      <c r="H14" s="4">
        <f t="shared" si="0"/>
        <v>39.06751232797374</v>
      </c>
      <c r="I14" s="4">
        <f>G14-H14</f>
        <v>39.06751232797374</v>
      </c>
      <c r="J14" s="4">
        <f>I14+F14</f>
        <v>1034.2176231687774</v>
      </c>
      <c r="K14" s="4">
        <f>16667-H14-F14</f>
        <v>15632.782376831223</v>
      </c>
      <c r="L14" s="4">
        <f>16667-H14</f>
        <v>16627.932487672027</v>
      </c>
      <c r="M14" s="4">
        <f>(2284*$D$4/I14)^2</f>
        <v>237449.84571882096</v>
      </c>
      <c r="N14" s="4">
        <f>(2284*$D$4/J14)^2</f>
        <v>338.82819298200843</v>
      </c>
      <c r="O14" s="5">
        <f t="shared" si="12"/>
        <v>1.4829648019338526</v>
      </c>
      <c r="P14" s="5"/>
      <c r="Q14" s="5"/>
    </row>
    <row r="15" spans="1:17" s="14" customFormat="1" ht="12.75">
      <c r="A15" s="13">
        <v>0.08</v>
      </c>
      <c r="B15" s="13">
        <f t="shared" si="2"/>
        <v>0.18642126732854614</v>
      </c>
      <c r="C15" s="13">
        <f t="shared" si="3"/>
        <v>0.24812996751256972</v>
      </c>
      <c r="D15" s="14">
        <v>30</v>
      </c>
      <c r="E15" s="15">
        <f t="shared" si="4"/>
        <v>188.49555921538757</v>
      </c>
      <c r="F15" s="15">
        <f t="shared" si="5"/>
        <v>2073.2244509172074</v>
      </c>
      <c r="G15" s="15">
        <f t="shared" si="6"/>
        <v>312.0625902687089</v>
      </c>
      <c r="H15" s="15">
        <f t="shared" si="0"/>
        <v>156.03129513435445</v>
      </c>
      <c r="I15" s="15">
        <f t="shared" si="7"/>
        <v>156.03129513435445</v>
      </c>
      <c r="J15" s="15">
        <f t="shared" si="8"/>
        <v>2229.255746051562</v>
      </c>
      <c r="K15" s="15">
        <f t="shared" si="1"/>
        <v>14437.744253948438</v>
      </c>
      <c r="L15" s="15">
        <f t="shared" si="9"/>
        <v>16510.968704865645</v>
      </c>
      <c r="M15" s="15">
        <f t="shared" si="10"/>
        <v>14886.06739065395</v>
      </c>
      <c r="N15" s="15">
        <f t="shared" si="11"/>
        <v>72.92620568168508</v>
      </c>
      <c r="O15" s="16">
        <f t="shared" si="12"/>
        <v>1.7386201887536323</v>
      </c>
      <c r="P15" s="16">
        <f t="shared" si="13"/>
        <v>1.3294080339797232</v>
      </c>
      <c r="Q15" s="16">
        <f t="shared" si="14"/>
        <v>1.2805451683178917</v>
      </c>
    </row>
    <row r="16" spans="1:17" ht="12.75">
      <c r="A16" s="7">
        <v>0.08</v>
      </c>
      <c r="B16" s="7">
        <f t="shared" si="2"/>
        <v>0.18642126732854614</v>
      </c>
      <c r="C16" s="7">
        <f t="shared" si="3"/>
        <v>0.24812996751256972</v>
      </c>
      <c r="D16">
        <v>60</v>
      </c>
      <c r="E16" s="4">
        <f t="shared" si="4"/>
        <v>376.99111843077515</v>
      </c>
      <c r="F16" s="4">
        <f t="shared" si="5"/>
        <v>1036.6122254586037</v>
      </c>
      <c r="G16" s="4">
        <f t="shared" si="6"/>
        <v>156.03129513435445</v>
      </c>
      <c r="H16" s="4">
        <f t="shared" si="0"/>
        <v>78.01564756717723</v>
      </c>
      <c r="I16" s="4">
        <f t="shared" si="7"/>
        <v>78.01564756717723</v>
      </c>
      <c r="J16" s="4">
        <f t="shared" si="8"/>
        <v>1114.627873025781</v>
      </c>
      <c r="K16" s="4">
        <f t="shared" si="1"/>
        <v>15552.37212697422</v>
      </c>
      <c r="L16" s="4">
        <f t="shared" si="9"/>
        <v>16588.984352432824</v>
      </c>
      <c r="M16" s="4">
        <f t="shared" si="10"/>
        <v>59544.2695626158</v>
      </c>
      <c r="N16" s="4">
        <f t="shared" si="11"/>
        <v>291.7048227267403</v>
      </c>
      <c r="O16" s="5">
        <f t="shared" si="12"/>
        <v>1.4983391559260797</v>
      </c>
      <c r="P16" s="5">
        <f t="shared" si="13"/>
        <v>1.3169334003508577</v>
      </c>
      <c r="Q16" s="5">
        <f t="shared" si="14"/>
        <v>1.292505179286669</v>
      </c>
    </row>
    <row r="17" spans="1:17" s="10" customFormat="1" ht="12.75">
      <c r="A17" s="9">
        <v>0.1</v>
      </c>
      <c r="B17" s="9">
        <f t="shared" si="2"/>
        <v>0.18935375964113618</v>
      </c>
      <c r="C17" s="9">
        <f t="shared" si="3"/>
        <v>0.24666372135627468</v>
      </c>
      <c r="D17" s="10">
        <v>30</v>
      </c>
      <c r="E17" s="11">
        <f t="shared" si="4"/>
        <v>188.49555921538757</v>
      </c>
      <c r="F17" s="11">
        <f t="shared" si="5"/>
        <v>2242.5013758966325</v>
      </c>
      <c r="G17" s="11">
        <f t="shared" si="6"/>
        <v>621.9579047505815</v>
      </c>
      <c r="H17" s="11">
        <f t="shared" si="0"/>
        <v>310.97895237529076</v>
      </c>
      <c r="I17" s="11">
        <f t="shared" si="7"/>
        <v>310.97895237529076</v>
      </c>
      <c r="J17" s="11">
        <f t="shared" si="8"/>
        <v>2553.480328271923</v>
      </c>
      <c r="K17" s="11">
        <f t="shared" si="1"/>
        <v>14113.519671728076</v>
      </c>
      <c r="L17" s="11">
        <f t="shared" si="9"/>
        <v>16356.021047624708</v>
      </c>
      <c r="M17" s="11">
        <f t="shared" si="10"/>
        <v>3747.498046437192</v>
      </c>
      <c r="N17" s="11">
        <f t="shared" si="11"/>
        <v>55.58253812896056</v>
      </c>
      <c r="O17" s="12">
        <f t="shared" si="12"/>
        <v>1.8194190668234391</v>
      </c>
      <c r="P17" s="12">
        <f t="shared" si="13"/>
        <v>1.35471545680448</v>
      </c>
      <c r="Q17" s="12">
        <f t="shared" si="14"/>
        <v>1.2572783169744934</v>
      </c>
    </row>
    <row r="18" spans="1:17" ht="12.75">
      <c r="A18" s="7">
        <v>0.1</v>
      </c>
      <c r="B18" s="7">
        <f t="shared" si="2"/>
        <v>0.18935375964113618</v>
      </c>
      <c r="C18" s="7">
        <f t="shared" si="3"/>
        <v>0.24666372135627468</v>
      </c>
      <c r="D18">
        <v>60</v>
      </c>
      <c r="E18" s="4">
        <f t="shared" si="4"/>
        <v>376.99111843077515</v>
      </c>
      <c r="F18" s="4">
        <f t="shared" si="5"/>
        <v>1121.2506879483162</v>
      </c>
      <c r="G18" s="4">
        <f t="shared" si="6"/>
        <v>310.97895237529076</v>
      </c>
      <c r="H18" s="4">
        <f t="shared" si="0"/>
        <v>155.48947618764538</v>
      </c>
      <c r="I18" s="4">
        <f t="shared" si="7"/>
        <v>155.48947618764538</v>
      </c>
      <c r="J18" s="4">
        <f t="shared" si="8"/>
        <v>1276.7401641359615</v>
      </c>
      <c r="K18" s="4">
        <f t="shared" si="1"/>
        <v>15390.259835864039</v>
      </c>
      <c r="L18" s="4">
        <f t="shared" si="9"/>
        <v>16511.510523812354</v>
      </c>
      <c r="M18" s="4">
        <f t="shared" si="10"/>
        <v>14989.992185748768</v>
      </c>
      <c r="N18" s="4">
        <f t="shared" si="11"/>
        <v>222.33015251584223</v>
      </c>
      <c r="O18" s="5">
        <f t="shared" si="12"/>
        <v>1.5300707156763746</v>
      </c>
      <c r="P18" s="5">
        <f t="shared" si="13"/>
        <v>1.3293207873717865</v>
      </c>
      <c r="Q18" s="5">
        <f t="shared" si="14"/>
        <v>1.2806276572751456</v>
      </c>
    </row>
    <row r="19" spans="1:17" ht="12.75">
      <c r="A19" s="7">
        <v>0.16</v>
      </c>
      <c r="B19" s="7">
        <f t="shared" si="2"/>
        <v>0.20277653657133263</v>
      </c>
      <c r="C19" s="7">
        <f t="shared" si="3"/>
        <v>0.23995233289117646</v>
      </c>
      <c r="D19">
        <v>30</v>
      </c>
      <c r="E19" s="4">
        <f t="shared" si="4"/>
        <v>188.49555921538757</v>
      </c>
      <c r="F19" s="4">
        <f t="shared" si="5"/>
        <v>2792.009452624815</v>
      </c>
      <c r="G19" s="4">
        <f t="shared" si="6"/>
        <v>1533.77737555854</v>
      </c>
      <c r="H19" s="4">
        <f t="shared" si="0"/>
        <v>766.88868777927</v>
      </c>
      <c r="I19" s="4">
        <f t="shared" si="7"/>
        <v>766.88868777927</v>
      </c>
      <c r="J19" s="4">
        <f t="shared" si="8"/>
        <v>3558.898140404085</v>
      </c>
      <c r="K19" s="4">
        <f t="shared" si="1"/>
        <v>13108.101859595914</v>
      </c>
      <c r="L19" s="4">
        <f t="shared" si="9"/>
        <v>15900.11131222073</v>
      </c>
      <c r="M19" s="4">
        <f t="shared" si="10"/>
        <v>616.2241922608175</v>
      </c>
      <c r="N19" s="4">
        <f t="shared" si="11"/>
        <v>28.613586123882946</v>
      </c>
      <c r="O19" s="5">
        <f t="shared" si="12"/>
        <v>2.1092292845761564</v>
      </c>
      <c r="P19" s="5">
        <f t="shared" si="13"/>
        <v>1.4335177607610237</v>
      </c>
      <c r="Q19" s="5">
        <f t="shared" si="14"/>
        <v>1.1923805134688101</v>
      </c>
    </row>
    <row r="20" spans="1:17" ht="12.75">
      <c r="A20" s="7">
        <v>0.16</v>
      </c>
      <c r="B20" s="7">
        <f t="shared" si="2"/>
        <v>0.20277653657133263</v>
      </c>
      <c r="C20" s="7">
        <f t="shared" si="3"/>
        <v>0.23995233289117646</v>
      </c>
      <c r="D20">
        <v>60</v>
      </c>
      <c r="E20" s="4">
        <f t="shared" si="4"/>
        <v>376.99111843077515</v>
      </c>
      <c r="F20" s="4">
        <f t="shared" si="5"/>
        <v>1396.0047263124075</v>
      </c>
      <c r="G20" s="4">
        <f t="shared" si="6"/>
        <v>766.88868777927</v>
      </c>
      <c r="H20" s="4">
        <f t="shared" si="0"/>
        <v>383.444343889635</v>
      </c>
      <c r="I20" s="4">
        <f t="shared" si="7"/>
        <v>383.444343889635</v>
      </c>
      <c r="J20" s="4">
        <f t="shared" si="8"/>
        <v>1779.4490702020425</v>
      </c>
      <c r="K20" s="4">
        <f t="shared" si="1"/>
        <v>14887.550929797959</v>
      </c>
      <c r="L20" s="4">
        <f t="shared" si="9"/>
        <v>16283.555656110366</v>
      </c>
      <c r="M20" s="4">
        <f t="shared" si="10"/>
        <v>2464.89676904327</v>
      </c>
      <c r="N20" s="4">
        <f t="shared" si="11"/>
        <v>114.45434449553179</v>
      </c>
      <c r="O20" s="5">
        <f t="shared" si="12"/>
        <v>1.6351473206898528</v>
      </c>
      <c r="P20" s="5">
        <f t="shared" si="13"/>
        <v>1.3667998475877197</v>
      </c>
      <c r="Q20" s="5">
        <f t="shared" si="14"/>
        <v>1.2466140135708028</v>
      </c>
    </row>
    <row r="21" spans="1:17" ht="12.75">
      <c r="A21" s="7">
        <v>0.2</v>
      </c>
      <c r="B21" s="7">
        <f t="shared" si="2"/>
        <v>0.21644064120887485</v>
      </c>
      <c r="C21" s="7">
        <f t="shared" si="3"/>
        <v>0.23312028057240536</v>
      </c>
      <c r="D21">
        <v>30</v>
      </c>
      <c r="E21" s="4">
        <f t="shared" si="4"/>
        <v>188.49555921538757</v>
      </c>
      <c r="F21" s="4">
        <f t="shared" si="5"/>
        <v>3215.7288214155146</v>
      </c>
      <c r="G21" s="4">
        <f t="shared" si="6"/>
        <v>2122.429177142894</v>
      </c>
      <c r="H21" s="4">
        <f t="shared" si="0"/>
        <v>1061.214588571447</v>
      </c>
      <c r="I21" s="4">
        <f t="shared" si="7"/>
        <v>1061.214588571447</v>
      </c>
      <c r="J21" s="4">
        <f t="shared" si="8"/>
        <v>4276.943409986961</v>
      </c>
      <c r="K21" s="4">
        <f t="shared" si="1"/>
        <v>12390.056590013039</v>
      </c>
      <c r="L21" s="4">
        <f t="shared" si="9"/>
        <v>15605.785411428553</v>
      </c>
      <c r="M21" s="4">
        <f t="shared" si="10"/>
        <v>321.8081096488832</v>
      </c>
      <c r="N21" s="4">
        <f t="shared" si="11"/>
        <v>19.812368614255202</v>
      </c>
      <c r="O21" s="5">
        <f t="shared" si="12"/>
        <v>2.3607871225722463</v>
      </c>
      <c r="P21" s="5">
        <f t="shared" si="13"/>
        <v>1.4881000998771123</v>
      </c>
      <c r="Q21" s="5">
        <f t="shared" si="14"/>
        <v>1.1531170870107703</v>
      </c>
    </row>
    <row r="22" spans="1:17" ht="12.75">
      <c r="A22" s="7">
        <v>0.2</v>
      </c>
      <c r="B22" s="7">
        <f t="shared" si="2"/>
        <v>0.21644064120887485</v>
      </c>
      <c r="C22" s="7">
        <f t="shared" si="3"/>
        <v>0.23312028057240536</v>
      </c>
      <c r="D22">
        <v>60</v>
      </c>
      <c r="E22" s="4">
        <f t="shared" si="4"/>
        <v>376.99111843077515</v>
      </c>
      <c r="F22" s="4">
        <f t="shared" si="5"/>
        <v>1607.8644107077573</v>
      </c>
      <c r="G22" s="4">
        <f t="shared" si="6"/>
        <v>1061.214588571447</v>
      </c>
      <c r="H22" s="4">
        <f t="shared" si="0"/>
        <v>530.6072942857235</v>
      </c>
      <c r="I22" s="4">
        <f t="shared" si="7"/>
        <v>530.6072942857235</v>
      </c>
      <c r="J22" s="4">
        <f t="shared" si="8"/>
        <v>2138.4717049934807</v>
      </c>
      <c r="K22" s="4">
        <f t="shared" si="1"/>
        <v>14528.52829500652</v>
      </c>
      <c r="L22" s="4">
        <f t="shared" si="9"/>
        <v>16136.392705714277</v>
      </c>
      <c r="M22" s="4">
        <f t="shared" si="10"/>
        <v>1287.2324385955328</v>
      </c>
      <c r="N22" s="4">
        <f t="shared" si="11"/>
        <v>79.24947445702081</v>
      </c>
      <c r="O22" s="5">
        <f t="shared" si="12"/>
        <v>1.7169599322899485</v>
      </c>
      <c r="P22" s="5">
        <f t="shared" si="13"/>
        <v>1.3918437969770243</v>
      </c>
      <c r="Q22" s="5">
        <f t="shared" si="14"/>
        <v>1.2253703064585169</v>
      </c>
    </row>
    <row r="23" spans="1:17" ht="12.75">
      <c r="A23" s="7"/>
      <c r="B23" s="7"/>
      <c r="C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>
        <f t="shared" si="14"/>
        <v>1.3046335319034308</v>
      </c>
    </row>
    <row r="24" spans="1:17" ht="12.75">
      <c r="A24" s="7">
        <v>0.06</v>
      </c>
      <c r="B24" s="7">
        <f t="shared" si="2"/>
        <v>0.18417826472182572</v>
      </c>
      <c r="C24" s="7">
        <f t="shared" si="3"/>
        <v>0.2492514688159299</v>
      </c>
      <c r="D24">
        <v>30</v>
      </c>
      <c r="E24" s="4">
        <f t="shared" si="4"/>
        <v>188.49555921538757</v>
      </c>
      <c r="F24" s="4">
        <f t="shared" si="5"/>
        <v>1908.304901623339</v>
      </c>
      <c r="G24" s="4">
        <f t="shared" si="6"/>
        <v>0</v>
      </c>
      <c r="H24" s="4">
        <f>H11+$N$4</f>
        <v>-100</v>
      </c>
      <c r="I24" s="4">
        <f>G24-H24</f>
        <v>100</v>
      </c>
      <c r="J24" s="4">
        <f>I24+F24</f>
        <v>2008.304901623339</v>
      </c>
      <c r="K24" s="4">
        <f aca="true" t="shared" si="15" ref="K24:K33">16667-H24-F24</f>
        <v>14858.695098376662</v>
      </c>
      <c r="L24" s="4">
        <f t="shared" si="9"/>
        <v>16767</v>
      </c>
      <c r="M24" s="4">
        <f>(2284*$D$4/I24)^2</f>
        <v>36241.26993796001</v>
      </c>
      <c r="N24" s="4">
        <f>(2284*$D$4/J24)^2</f>
        <v>89.85538534654135</v>
      </c>
      <c r="O24" s="5">
        <f>(2284*$D$4/K24)^2</f>
        <v>1.6415044537657897</v>
      </c>
      <c r="P24" s="5">
        <f t="shared" si="13"/>
        <v>1.2891180186691402</v>
      </c>
      <c r="Q24" s="5">
        <f t="shared" si="14"/>
        <v>1.2891180186691402</v>
      </c>
    </row>
    <row r="25" spans="1:17" ht="12.75">
      <c r="A25" s="7">
        <v>0.06</v>
      </c>
      <c r="B25" s="7">
        <f t="shared" si="2"/>
        <v>0.18417826472182572</v>
      </c>
      <c r="C25" s="7">
        <f t="shared" si="3"/>
        <v>0.2492514688159299</v>
      </c>
      <c r="D25">
        <v>60</v>
      </c>
      <c r="E25" s="4">
        <f t="shared" si="4"/>
        <v>376.99111843077515</v>
      </c>
      <c r="F25" s="4">
        <f t="shared" si="5"/>
        <v>954.1524508116695</v>
      </c>
      <c r="G25" s="4">
        <f t="shared" si="6"/>
        <v>0</v>
      </c>
      <c r="H25" s="4">
        <f aca="true" t="shared" si="16" ref="H25:H33">H12+$N$4</f>
        <v>-100</v>
      </c>
      <c r="I25" s="4">
        <f aca="true" t="shared" si="17" ref="I25:I33">G25-H25</f>
        <v>100</v>
      </c>
      <c r="J25" s="4">
        <f aca="true" t="shared" si="18" ref="J25:J33">I25+F25</f>
        <v>1054.1524508116695</v>
      </c>
      <c r="K25" s="4">
        <f t="shared" si="15"/>
        <v>15812.847549188331</v>
      </c>
      <c r="L25" s="4">
        <f t="shared" si="9"/>
        <v>16767</v>
      </c>
      <c r="M25" s="4">
        <f aca="true" t="shared" si="19" ref="M25:M33">(2284*$D$4/I25)^2</f>
        <v>36241.26993796001</v>
      </c>
      <c r="N25" s="4">
        <f aca="true" t="shared" si="20" ref="N25:N33">(2284*$D$4/J25)^2</f>
        <v>326.13436407645264</v>
      </c>
      <c r="O25" s="5">
        <f aca="true" t="shared" si="21" ref="O25:O33">(2284*$D$4/K25)^2</f>
        <v>1.4493832552031491</v>
      </c>
      <c r="P25" s="5">
        <f t="shared" si="13"/>
        <v>1.2891180186691402</v>
      </c>
      <c r="Q25" s="5">
        <f t="shared" si="14"/>
        <v>1.2891180186691402</v>
      </c>
    </row>
    <row r="26" spans="1:17" s="10" customFormat="1" ht="12.75">
      <c r="A26" s="9">
        <v>0.07</v>
      </c>
      <c r="B26" s="9">
        <f t="shared" si="2"/>
        <v>0.18521565121688285</v>
      </c>
      <c r="C26" s="9">
        <f t="shared" si="3"/>
        <v>0.24873277556840134</v>
      </c>
      <c r="D26" s="10">
        <v>30</v>
      </c>
      <c r="E26" s="11">
        <f t="shared" si="4"/>
        <v>188.49555921538757</v>
      </c>
      <c r="F26" s="11">
        <f t="shared" si="5"/>
        <v>1990.3002216816076</v>
      </c>
      <c r="G26" s="11">
        <f t="shared" si="6"/>
        <v>156.27004931189495</v>
      </c>
      <c r="H26" s="4">
        <f t="shared" si="16"/>
        <v>-21.864975344052525</v>
      </c>
      <c r="I26" s="11">
        <f t="shared" si="17"/>
        <v>178.13502465594746</v>
      </c>
      <c r="J26" s="11">
        <f t="shared" si="18"/>
        <v>2168.435246337555</v>
      </c>
      <c r="K26" s="11">
        <f t="shared" si="15"/>
        <v>14698.564753662444</v>
      </c>
      <c r="L26" s="11">
        <f>16667-H26</f>
        <v>16688.86497534405</v>
      </c>
      <c r="M26" s="11">
        <f t="shared" si="19"/>
        <v>11421.016817293239</v>
      </c>
      <c r="N26" s="11">
        <f t="shared" si="20"/>
        <v>77.07446021509587</v>
      </c>
      <c r="O26" s="12">
        <f t="shared" si="21"/>
        <v>1.6774653091619756</v>
      </c>
      <c r="P26" s="12">
        <f>(2284*$D$4/L26)^2</f>
        <v>1.3012172308578496</v>
      </c>
      <c r="Q26" s="12">
        <f t="shared" si="14"/>
        <v>1.2771867798469307</v>
      </c>
    </row>
    <row r="27" spans="1:17" s="10" customFormat="1" ht="12.75">
      <c r="A27" s="9">
        <v>0.07</v>
      </c>
      <c r="B27" s="9">
        <f t="shared" si="2"/>
        <v>0.18521565121688285</v>
      </c>
      <c r="C27" s="9">
        <f t="shared" si="3"/>
        <v>0.24873277556840134</v>
      </c>
      <c r="D27" s="10">
        <v>60</v>
      </c>
      <c r="E27" s="11">
        <f t="shared" si="4"/>
        <v>376.99111843077515</v>
      </c>
      <c r="F27" s="11">
        <f t="shared" si="5"/>
        <v>995.1501108408038</v>
      </c>
      <c r="G27" s="11">
        <f t="shared" si="6"/>
        <v>78.13502465594748</v>
      </c>
      <c r="H27" s="4">
        <f t="shared" si="16"/>
        <v>-60.93248767202626</v>
      </c>
      <c r="I27" s="11">
        <f t="shared" si="17"/>
        <v>139.06751232797373</v>
      </c>
      <c r="J27" s="11">
        <f t="shared" si="18"/>
        <v>1134.2176231687774</v>
      </c>
      <c r="K27" s="11">
        <f t="shared" si="15"/>
        <v>15732.782376831223</v>
      </c>
      <c r="L27" s="11">
        <f>16667-H27</f>
        <v>16727.932487672027</v>
      </c>
      <c r="M27" s="11">
        <f t="shared" si="19"/>
        <v>18739.242681854703</v>
      </c>
      <c r="N27" s="11">
        <f t="shared" si="20"/>
        <v>281.7154241200623</v>
      </c>
      <c r="O27" s="12">
        <f t="shared" si="21"/>
        <v>1.464172807109095</v>
      </c>
      <c r="P27" s="12">
        <f>(2284*$D$4/L27)^2</f>
        <v>1.2951464318308525</v>
      </c>
      <c r="Q27" s="12">
        <f t="shared" si="14"/>
        <v>1.283131597709139</v>
      </c>
    </row>
    <row r="28" spans="1:17" s="14" customFormat="1" ht="12.75">
      <c r="A28" s="13">
        <v>0.08</v>
      </c>
      <c r="B28" s="13">
        <f t="shared" si="2"/>
        <v>0.18642126732854614</v>
      </c>
      <c r="C28" s="13">
        <f t="shared" si="3"/>
        <v>0.24812996751256972</v>
      </c>
      <c r="D28" s="14">
        <v>30</v>
      </c>
      <c r="E28" s="15">
        <f t="shared" si="4"/>
        <v>188.49555921538757</v>
      </c>
      <c r="F28" s="15">
        <f t="shared" si="5"/>
        <v>2073.2244509172074</v>
      </c>
      <c r="G28" s="15">
        <f t="shared" si="6"/>
        <v>312.0625902687089</v>
      </c>
      <c r="H28" s="15">
        <f t="shared" si="16"/>
        <v>56.03129513435445</v>
      </c>
      <c r="I28" s="15">
        <f t="shared" si="17"/>
        <v>256.0312951343544</v>
      </c>
      <c r="J28" s="15">
        <f t="shared" si="18"/>
        <v>2329.255746051562</v>
      </c>
      <c r="K28" s="15">
        <f t="shared" si="15"/>
        <v>14537.744253948438</v>
      </c>
      <c r="L28" s="15">
        <f t="shared" si="9"/>
        <v>16610.968704865645</v>
      </c>
      <c r="M28" s="15">
        <f t="shared" si="19"/>
        <v>5528.627138837299</v>
      </c>
      <c r="N28" s="15">
        <f t="shared" si="20"/>
        <v>66.79886086520428</v>
      </c>
      <c r="O28" s="16">
        <f t="shared" si="21"/>
        <v>1.7147837464298925</v>
      </c>
      <c r="P28" s="16">
        <f t="shared" si="13"/>
        <v>1.3134498263570464</v>
      </c>
      <c r="Q28" s="16">
        <f t="shared" si="14"/>
        <v>1.265456125380558</v>
      </c>
    </row>
    <row r="29" spans="1:17" ht="12.75">
      <c r="A29" s="7">
        <v>0.08</v>
      </c>
      <c r="B29" s="7">
        <f t="shared" si="2"/>
        <v>0.18642126732854614</v>
      </c>
      <c r="C29" s="7">
        <f t="shared" si="3"/>
        <v>0.24812996751256972</v>
      </c>
      <c r="D29">
        <v>60</v>
      </c>
      <c r="E29" s="4">
        <f t="shared" si="4"/>
        <v>376.99111843077515</v>
      </c>
      <c r="F29" s="4">
        <f t="shared" si="5"/>
        <v>1036.6122254586037</v>
      </c>
      <c r="G29" s="4">
        <f t="shared" si="6"/>
        <v>156.03129513435445</v>
      </c>
      <c r="H29" s="4">
        <f t="shared" si="16"/>
        <v>-21.984352432822774</v>
      </c>
      <c r="I29" s="4">
        <f t="shared" si="17"/>
        <v>178.0156475671772</v>
      </c>
      <c r="J29" s="4">
        <f t="shared" si="18"/>
        <v>1214.627873025781</v>
      </c>
      <c r="K29" s="4">
        <f t="shared" si="15"/>
        <v>15652.37212697422</v>
      </c>
      <c r="L29" s="4">
        <f t="shared" si="9"/>
        <v>16688.984352432824</v>
      </c>
      <c r="M29" s="4">
        <f t="shared" si="19"/>
        <v>11436.339794873189</v>
      </c>
      <c r="N29" s="4">
        <f t="shared" si="20"/>
        <v>245.6500865445748</v>
      </c>
      <c r="O29" s="5">
        <f t="shared" si="21"/>
        <v>1.479255111115111</v>
      </c>
      <c r="P29" s="5">
        <f t="shared" si="13"/>
        <v>1.3011986155885151</v>
      </c>
      <c r="Q29" s="5">
        <f t="shared" si="14"/>
        <v>1.277204882220124</v>
      </c>
    </row>
    <row r="30" spans="1:17" s="10" customFormat="1" ht="12.75">
      <c r="A30" s="9">
        <v>0.1</v>
      </c>
      <c r="B30" s="9">
        <f t="shared" si="2"/>
        <v>0.18935375964113618</v>
      </c>
      <c r="C30" s="9">
        <f t="shared" si="3"/>
        <v>0.24666372135627468</v>
      </c>
      <c r="D30" s="10">
        <v>30</v>
      </c>
      <c r="E30" s="11">
        <f t="shared" si="4"/>
        <v>188.49555921538757</v>
      </c>
      <c r="F30" s="11">
        <f t="shared" si="5"/>
        <v>2242.5013758966325</v>
      </c>
      <c r="G30" s="11">
        <f t="shared" si="6"/>
        <v>621.9579047505815</v>
      </c>
      <c r="H30" s="11">
        <f t="shared" si="16"/>
        <v>210.97895237529076</v>
      </c>
      <c r="I30" s="11">
        <f t="shared" si="17"/>
        <v>410.97895237529076</v>
      </c>
      <c r="J30" s="11">
        <f t="shared" si="18"/>
        <v>2653.480328271923</v>
      </c>
      <c r="K30" s="11">
        <f t="shared" si="15"/>
        <v>14213.519671728076</v>
      </c>
      <c r="L30" s="11">
        <f t="shared" si="9"/>
        <v>16456.02104762471</v>
      </c>
      <c r="M30" s="11">
        <f t="shared" si="19"/>
        <v>2145.6765061466826</v>
      </c>
      <c r="N30" s="11">
        <f t="shared" si="20"/>
        <v>51.472073398305874</v>
      </c>
      <c r="O30" s="12">
        <f t="shared" si="21"/>
        <v>1.7939078803305597</v>
      </c>
      <c r="P30" s="12">
        <f t="shared" si="13"/>
        <v>1.3383008048866154</v>
      </c>
      <c r="Q30" s="12">
        <f t="shared" si="14"/>
        <v>1.2425974542357505</v>
      </c>
    </row>
    <row r="31" spans="1:17" ht="12.75">
      <c r="A31" s="7">
        <v>0.1</v>
      </c>
      <c r="B31" s="7">
        <f t="shared" si="2"/>
        <v>0.18935375964113618</v>
      </c>
      <c r="C31" s="7">
        <f t="shared" si="3"/>
        <v>0.24666372135627468</v>
      </c>
      <c r="D31">
        <v>60</v>
      </c>
      <c r="E31" s="4">
        <f t="shared" si="4"/>
        <v>376.99111843077515</v>
      </c>
      <c r="F31" s="4">
        <f t="shared" si="5"/>
        <v>1121.2506879483162</v>
      </c>
      <c r="G31" s="4">
        <f t="shared" si="6"/>
        <v>310.97895237529076</v>
      </c>
      <c r="H31" s="4">
        <f t="shared" si="16"/>
        <v>55.48947618764538</v>
      </c>
      <c r="I31" s="4">
        <f t="shared" si="17"/>
        <v>255.48947618764538</v>
      </c>
      <c r="J31" s="4">
        <f t="shared" si="18"/>
        <v>1376.7401641359615</v>
      </c>
      <c r="K31" s="4">
        <f t="shared" si="15"/>
        <v>15490.259835864039</v>
      </c>
      <c r="L31" s="4">
        <f t="shared" si="9"/>
        <v>16611.510523812354</v>
      </c>
      <c r="M31" s="4">
        <f t="shared" si="19"/>
        <v>5552.101226978008</v>
      </c>
      <c r="N31" s="4">
        <f t="shared" si="20"/>
        <v>191.20508706447345</v>
      </c>
      <c r="O31" s="5">
        <f t="shared" si="21"/>
        <v>1.5103792202939796</v>
      </c>
      <c r="P31" s="5">
        <f t="shared" si="13"/>
        <v>1.3133641459615826</v>
      </c>
      <c r="Q31" s="5">
        <f t="shared" si="14"/>
        <v>1.2655371606304078</v>
      </c>
    </row>
    <row r="32" spans="1:17" ht="12.75">
      <c r="A32" s="7">
        <v>0.16</v>
      </c>
      <c r="B32" s="7">
        <f t="shared" si="2"/>
        <v>0.20277653657133263</v>
      </c>
      <c r="C32" s="7">
        <f t="shared" si="3"/>
        <v>0.23995233289117646</v>
      </c>
      <c r="D32">
        <v>30</v>
      </c>
      <c r="E32" s="4">
        <f t="shared" si="4"/>
        <v>188.49555921538757</v>
      </c>
      <c r="F32" s="4">
        <f t="shared" si="5"/>
        <v>2792.009452624815</v>
      </c>
      <c r="G32" s="4">
        <f t="shared" si="6"/>
        <v>1533.77737555854</v>
      </c>
      <c r="H32" s="4">
        <f t="shared" si="16"/>
        <v>666.88868777927</v>
      </c>
      <c r="I32" s="4">
        <f t="shared" si="17"/>
        <v>866.88868777927</v>
      </c>
      <c r="J32" s="4">
        <f t="shared" si="18"/>
        <v>3658.898140404085</v>
      </c>
      <c r="K32" s="4">
        <f t="shared" si="15"/>
        <v>13208.101859595914</v>
      </c>
      <c r="L32" s="4">
        <f t="shared" si="9"/>
        <v>16000.11131222073</v>
      </c>
      <c r="M32" s="4">
        <f t="shared" si="19"/>
        <v>482.2549964690789</v>
      </c>
      <c r="N32" s="4">
        <f t="shared" si="20"/>
        <v>27.0709046203733</v>
      </c>
      <c r="O32" s="5">
        <f t="shared" si="21"/>
        <v>2.077411772827456</v>
      </c>
      <c r="P32" s="5">
        <f t="shared" si="13"/>
        <v>1.4156549094215758</v>
      </c>
      <c r="Q32" s="5">
        <f t="shared" si="14"/>
        <v>1.178818430149113</v>
      </c>
    </row>
    <row r="33" spans="1:17" ht="12.75">
      <c r="A33" s="7">
        <v>0.16</v>
      </c>
      <c r="B33" s="7">
        <f t="shared" si="2"/>
        <v>0.20277653657133263</v>
      </c>
      <c r="C33" s="7">
        <f t="shared" si="3"/>
        <v>0.23995233289117646</v>
      </c>
      <c r="D33">
        <v>60</v>
      </c>
      <c r="E33" s="4">
        <f t="shared" si="4"/>
        <v>376.99111843077515</v>
      </c>
      <c r="F33" s="4">
        <f t="shared" si="5"/>
        <v>1396.0047263124075</v>
      </c>
      <c r="G33" s="4">
        <f t="shared" si="6"/>
        <v>766.88868777927</v>
      </c>
      <c r="H33" s="4">
        <f t="shared" si="16"/>
        <v>283.444343889635</v>
      </c>
      <c r="I33" s="4">
        <f t="shared" si="17"/>
        <v>483.444343889635</v>
      </c>
      <c r="J33" s="4">
        <f t="shared" si="18"/>
        <v>1879.4490702020425</v>
      </c>
      <c r="K33" s="4">
        <f t="shared" si="15"/>
        <v>14987.550929797959</v>
      </c>
      <c r="L33" s="4">
        <f t="shared" si="9"/>
        <v>16383.555656110366</v>
      </c>
      <c r="M33" s="4">
        <f t="shared" si="19"/>
        <v>1550.6380636606827</v>
      </c>
      <c r="N33" s="4">
        <f t="shared" si="20"/>
        <v>102.5988007152166</v>
      </c>
      <c r="O33" s="5">
        <f t="shared" si="21"/>
        <v>1.6134000410985805</v>
      </c>
      <c r="P33" s="5">
        <f t="shared" si="13"/>
        <v>1.3501657466520103</v>
      </c>
      <c r="Q33" s="5">
        <f t="shared" si="14"/>
        <v>1.2321189994519564</v>
      </c>
    </row>
  </sheetData>
  <mergeCells count="1">
    <mergeCell ref="L4:M4"/>
  </mergeCells>
  <printOptions gridLines="1"/>
  <pageMargins left="0.62" right="0.48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1"/>
  <sheetViews>
    <sheetView workbookViewId="0" topLeftCell="A1">
      <selection activeCell="F17" sqref="F17"/>
    </sheetView>
  </sheetViews>
  <sheetFormatPr defaultColWidth="9.140625" defaultRowHeight="12.75"/>
  <cols>
    <col min="6" max="6" width="11.28125" style="0" bestFit="1" customWidth="1"/>
  </cols>
  <sheetData>
    <row r="2" spans="3:10" ht="12.75">
      <c r="C2" s="2" t="s">
        <v>10</v>
      </c>
      <c r="D2" s="6">
        <v>0.04</v>
      </c>
      <c r="E2" s="3"/>
      <c r="F2" s="2" t="s">
        <v>9</v>
      </c>
      <c r="G2" s="6">
        <v>0.27</v>
      </c>
      <c r="I2" s="2" t="s">
        <v>14</v>
      </c>
      <c r="J2" s="6">
        <v>0.15</v>
      </c>
    </row>
    <row r="3" spans="4:7" ht="12.75">
      <c r="D3" s="7"/>
      <c r="G3" s="7"/>
    </row>
    <row r="4" spans="3:10" ht="12.75">
      <c r="C4" s="2" t="s">
        <v>28</v>
      </c>
      <c r="D4" s="6">
        <v>180</v>
      </c>
      <c r="E4" s="3"/>
      <c r="F4" s="2" t="s">
        <v>29</v>
      </c>
      <c r="G4" s="6">
        <f>2*$J$4*$D$4</f>
        <v>1130.9733552923256</v>
      </c>
      <c r="I4" s="2" t="s">
        <v>11</v>
      </c>
      <c r="J4" s="3">
        <f>2*ASIN(1)</f>
        <v>3.141592653589793</v>
      </c>
    </row>
    <row r="5" spans="3:10" ht="12.75">
      <c r="C5" s="2"/>
      <c r="D5" s="6"/>
      <c r="E5" s="3"/>
      <c r="G5" s="8"/>
      <c r="H5" s="3"/>
      <c r="J5" s="2"/>
    </row>
    <row r="6" spans="3:10" ht="12.75">
      <c r="C6" s="2" t="s">
        <v>30</v>
      </c>
      <c r="D6" s="6">
        <f>SQRT(($G$2-0.5*$J$2)^2+(0.5*D$2)^2)</f>
        <v>0.1960229578391266</v>
      </c>
      <c r="E6" s="3"/>
      <c r="F6" s="2" t="s">
        <v>32</v>
      </c>
      <c r="G6" s="6">
        <v>300</v>
      </c>
      <c r="H6" s="3"/>
      <c r="I6" s="2"/>
      <c r="J6" s="6"/>
    </row>
    <row r="7" spans="3:10" ht="12.75">
      <c r="C7" s="2"/>
      <c r="D7" s="3"/>
      <c r="E7" s="3"/>
      <c r="G7" s="2"/>
      <c r="H7" s="3"/>
      <c r="J7" s="2"/>
    </row>
    <row r="8" spans="3:10" ht="12.75">
      <c r="C8" s="2"/>
      <c r="D8" s="3"/>
      <c r="E8" s="3"/>
      <c r="F8" s="2" t="s">
        <v>31</v>
      </c>
      <c r="G8" s="6">
        <f>$G$4*$G$6/1000000+4*ASIN(0.5*$D$2/$D$6)</f>
        <v>0.7481188790167117</v>
      </c>
      <c r="H8" s="3" t="s">
        <v>33</v>
      </c>
      <c r="I8" s="2"/>
      <c r="J8" s="6"/>
    </row>
    <row r="9" spans="7:8" ht="12.75">
      <c r="G9" s="4">
        <f>G8*180/$J$4</f>
        <v>42.86405434171583</v>
      </c>
      <c r="H9" t="s">
        <v>34</v>
      </c>
    </row>
    <row r="11" spans="6:7" ht="12.75">
      <c r="F11" t="s">
        <v>35</v>
      </c>
      <c r="G11" s="4">
        <f>1000000*G8/G4</f>
        <v>661.4823200882072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Hagen</cp:lastModifiedBy>
  <cp:lastPrinted>2006-01-12T19:34:31Z</cp:lastPrinted>
  <dcterms:created xsi:type="dcterms:W3CDTF">1996-10-14T23:33:28Z</dcterms:created>
  <dcterms:modified xsi:type="dcterms:W3CDTF">2006-01-12T22:57:55Z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