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10" windowWidth="10200" windowHeight="12195" activeTab="0"/>
  </bookViews>
  <sheets>
    <sheet name="2003" sheetId="1" r:id="rId1"/>
    <sheet name="2001" sheetId="2" r:id="rId2"/>
  </sheets>
  <definedNames>
    <definedName name="DMU_speed">'2001'!$N$1</definedName>
    <definedName name="FFI_Speed">'2001'!$O$1</definedName>
    <definedName name="Trailer_length">'2001'!$M$1</definedName>
  </definedNames>
  <calcPr fullCalcOnLoad="1"/>
</workbook>
</file>

<file path=xl/comments1.xml><?xml version="1.0" encoding="utf-8"?>
<comments xmlns="http://schemas.openxmlformats.org/spreadsheetml/2006/main">
  <authors>
    <author>Andrei Sukhanov</author>
    <author>Andrei</author>
  </authors>
  <commentList>
    <comment ref="B3" authorId="0">
      <text>
        <r>
          <rPr>
            <sz val="8"/>
            <rFont val="Tahoma"/>
            <family val="0"/>
          </rPr>
          <t>Readout sequence number</t>
        </r>
      </text>
    </comment>
    <comment ref="E3" authorId="0">
      <text>
        <r>
          <rPr>
            <sz val="8"/>
            <rFont val="Tahoma"/>
            <family val="0"/>
          </rPr>
          <t>Hardware FEC ID number defined in the FECs PROM</t>
        </r>
      </text>
    </comment>
    <comment ref="G3" authorId="0">
      <text>
        <r>
          <rPr>
            <sz val="8"/>
            <rFont val="Tahoma"/>
            <family val="0"/>
          </rPr>
          <t>Time when DMU transfer have finished</t>
        </r>
      </text>
    </comment>
    <comment ref="H3" authorId="0">
      <text>
        <r>
          <rPr>
            <sz val="8"/>
            <rFont val="Tahoma"/>
            <family val="0"/>
          </rPr>
          <t>Time when both DMU and FFI transfers have finished</t>
        </r>
      </text>
    </comment>
    <comment ref="K3" authorId="0">
      <text>
        <r>
          <rPr>
            <b/>
            <sz val="8"/>
            <rFont val="Tahoma"/>
            <family val="0"/>
          </rPr>
          <t>Andrei Sukhanov:</t>
        </r>
        <r>
          <rPr>
            <sz val="8"/>
            <rFont val="Tahoma"/>
            <family val="0"/>
          </rPr>
          <t xml:space="preserve">
Readout sequence number as I was in run 2001</t>
        </r>
      </text>
    </comment>
    <comment ref="M3" authorId="0">
      <text>
        <r>
          <rPr>
            <sz val="8"/>
            <rFont val="Tahoma"/>
            <family val="0"/>
          </rPr>
          <t>DMU channel number. Hardwired in DMU.</t>
        </r>
      </text>
    </comment>
    <comment ref="N3" authorId="0">
      <text>
        <r>
          <rPr>
            <sz val="8"/>
            <rFont val="Tahoma"/>
            <family val="0"/>
          </rPr>
          <t>Hardware FEC ID number defined in the FECs PROM</t>
        </r>
      </text>
    </comment>
    <comment ref="O3" authorId="0">
      <text>
        <r>
          <rPr>
            <b/>
            <sz val="8"/>
            <rFont val="Tahoma"/>
            <family val="0"/>
          </rPr>
          <t>Andrei Sukhanov:</t>
        </r>
        <r>
          <rPr>
            <sz val="8"/>
            <rFont val="Tahoma"/>
            <family val="0"/>
          </rPr>
          <t xml:space="preserve">
FEC size in bytes. 48 bytes of the trailer is not included</t>
        </r>
      </text>
    </comment>
    <comment ref="P3" authorId="0">
      <text>
        <r>
          <rPr>
            <sz val="8"/>
            <rFont val="Tahoma"/>
            <family val="0"/>
          </rPr>
          <t>Time when DMU transfer have finished</t>
        </r>
      </text>
    </comment>
    <comment ref="Q3" authorId="0">
      <text>
        <r>
          <rPr>
            <sz val="8"/>
            <rFont val="Tahoma"/>
            <family val="0"/>
          </rPr>
          <t>Time when both DMU and FFI transfers have finished</t>
        </r>
      </text>
    </comment>
    <comment ref="R3" authorId="1">
      <text>
        <r>
          <rPr>
            <sz val="8"/>
            <rFont val="Tahoma"/>
            <family val="0"/>
          </rPr>
          <t>Time period during which the FFI will idle due to no data from FFI. For hardware to work properly this period should be 0.</t>
        </r>
      </text>
    </comment>
    <comment ref="S3" authorId="0">
      <text>
        <r>
          <rPr>
            <sz val="8"/>
            <rFont val="Tahoma"/>
            <family val="2"/>
          </rPr>
          <t>Connection to workers</t>
        </r>
      </text>
    </comment>
    <comment ref="T26" authorId="1">
      <text>
        <r>
          <rPr>
            <sz val="8"/>
            <rFont val="Tahoma"/>
            <family val="2"/>
          </rPr>
          <t>Total bytes crate 0</t>
        </r>
      </text>
    </comment>
    <comment ref="T46" authorId="1">
      <text>
        <r>
          <rPr>
            <sz val="8"/>
            <rFont val="Tahoma"/>
            <family val="2"/>
          </rPr>
          <t>Total bytes in crate 1</t>
        </r>
      </text>
    </comment>
    <comment ref="M1" authorId="1">
      <text>
        <r>
          <rPr>
            <sz val="8"/>
            <rFont val="Tahoma"/>
            <family val="2"/>
          </rPr>
          <t>FEC trailer length = 48 bytes</t>
        </r>
      </text>
    </comment>
    <comment ref="N1" authorId="1">
      <text>
        <r>
          <rPr>
            <sz val="8"/>
            <rFont val="Tahoma"/>
            <family val="0"/>
          </rPr>
          <t>DMU transfer rate = 25 MB/s</t>
        </r>
      </text>
    </comment>
    <comment ref="O1" authorId="1">
      <text>
        <r>
          <rPr>
            <sz val="8"/>
            <rFont val="Tahoma"/>
            <family val="2"/>
          </rPr>
          <t>FFI transfer rate = 120 MB/s</t>
        </r>
      </text>
    </comment>
    <comment ref="J3" authorId="0">
      <text>
        <r>
          <rPr>
            <b/>
            <sz val="8"/>
            <rFont val="Tahoma"/>
            <family val="0"/>
          </rPr>
          <t>Andrei Sukhanov:</t>
        </r>
        <r>
          <rPr>
            <sz val="8"/>
            <rFont val="Tahoma"/>
            <family val="0"/>
          </rPr>
          <t xml:space="preserve">
Readout sequence</t>
        </r>
      </text>
    </comment>
    <comment ref="V27" authorId="0">
      <text>
        <r>
          <rPr>
            <b/>
            <sz val="8"/>
            <rFont val="Tahoma"/>
            <family val="0"/>
          </rPr>
          <t xml:space="preserve">Andrei Sukhanov: </t>
        </r>
        <r>
          <rPr>
            <sz val="8"/>
            <rFont val="Tahoma"/>
            <family val="0"/>
          </rPr>
          <t>12/10/02 
FEC which give nonzeroes in the trailer block when FECS are off.</t>
        </r>
      </text>
    </comment>
  </commentList>
</comments>
</file>

<file path=xl/comments2.xml><?xml version="1.0" encoding="utf-8"?>
<comments xmlns="http://schemas.openxmlformats.org/spreadsheetml/2006/main">
  <authors>
    <author>Andrei Sukhanov</author>
    <author>Andrei</author>
  </authors>
  <commentList>
    <comment ref="B3" authorId="0">
      <text>
        <r>
          <rPr>
            <sz val="8"/>
            <rFont val="Tahoma"/>
            <family val="0"/>
          </rPr>
          <t>Readout sequence number</t>
        </r>
      </text>
    </comment>
    <comment ref="E3" authorId="0">
      <text>
        <r>
          <rPr>
            <sz val="8"/>
            <rFont val="Tahoma"/>
            <family val="0"/>
          </rPr>
          <t>Hardware FEC ID number defined in the FECs PROM</t>
        </r>
      </text>
    </comment>
    <comment ref="G3" authorId="0">
      <text>
        <r>
          <rPr>
            <sz val="8"/>
            <rFont val="Tahoma"/>
            <family val="0"/>
          </rPr>
          <t>Time when DMU transfer have finished</t>
        </r>
      </text>
    </comment>
    <comment ref="H3" authorId="0">
      <text>
        <r>
          <rPr>
            <sz val="8"/>
            <rFont val="Tahoma"/>
            <family val="0"/>
          </rPr>
          <t>Time when both DMU and FFI transfers have finished</t>
        </r>
      </text>
    </comment>
    <comment ref="K3" authorId="0">
      <text>
        <r>
          <rPr>
            <b/>
            <sz val="8"/>
            <rFont val="Tahoma"/>
            <family val="0"/>
          </rPr>
          <t>Andrei Sukhanov:</t>
        </r>
        <r>
          <rPr>
            <sz val="8"/>
            <rFont val="Tahoma"/>
            <family val="0"/>
          </rPr>
          <t xml:space="preserve">
Readout sequence number as I was in run 2001</t>
        </r>
      </text>
    </comment>
    <comment ref="M3" authorId="0">
      <text>
        <r>
          <rPr>
            <sz val="8"/>
            <rFont val="Tahoma"/>
            <family val="0"/>
          </rPr>
          <t>DMU channel number. Hardwired in DMU.</t>
        </r>
      </text>
    </comment>
    <comment ref="N3" authorId="0">
      <text>
        <r>
          <rPr>
            <sz val="8"/>
            <rFont val="Tahoma"/>
            <family val="0"/>
          </rPr>
          <t>Hardware FEC ID number defined in the FECs PROM</t>
        </r>
      </text>
    </comment>
    <comment ref="O3" authorId="0">
      <text>
        <r>
          <rPr>
            <b/>
            <sz val="8"/>
            <rFont val="Tahoma"/>
            <family val="0"/>
          </rPr>
          <t>Andrei Sukhanov:</t>
        </r>
        <r>
          <rPr>
            <sz val="8"/>
            <rFont val="Tahoma"/>
            <family val="0"/>
          </rPr>
          <t xml:space="preserve">
FEC size in bytes. 48 bytes of the trailer is not included</t>
        </r>
      </text>
    </comment>
    <comment ref="P3" authorId="0">
      <text>
        <r>
          <rPr>
            <sz val="8"/>
            <rFont val="Tahoma"/>
            <family val="0"/>
          </rPr>
          <t>Time when DMU transfer have finished</t>
        </r>
      </text>
    </comment>
    <comment ref="Q3" authorId="0">
      <text>
        <r>
          <rPr>
            <sz val="8"/>
            <rFont val="Tahoma"/>
            <family val="0"/>
          </rPr>
          <t>Time when both DMU and FFI transfers have finished</t>
        </r>
      </text>
    </comment>
    <comment ref="R3" authorId="1">
      <text>
        <r>
          <rPr>
            <sz val="8"/>
            <rFont val="Tahoma"/>
            <family val="0"/>
          </rPr>
          <t>Time period during which the FFI will idle due to no data from FFI. For hardware to work properly this period should be 0.</t>
        </r>
      </text>
    </comment>
    <comment ref="S3" authorId="0">
      <text>
        <r>
          <rPr>
            <sz val="8"/>
            <rFont val="Tahoma"/>
            <family val="2"/>
          </rPr>
          <t>Connection to workers</t>
        </r>
      </text>
    </comment>
    <comment ref="T26" authorId="1">
      <text>
        <r>
          <rPr>
            <sz val="8"/>
            <rFont val="Tahoma"/>
            <family val="2"/>
          </rPr>
          <t>Total bytes crate 0</t>
        </r>
      </text>
    </comment>
    <comment ref="T45" authorId="1">
      <text>
        <r>
          <rPr>
            <sz val="8"/>
            <rFont val="Tahoma"/>
            <family val="2"/>
          </rPr>
          <t>Total bytes in crate 1</t>
        </r>
      </text>
    </comment>
    <comment ref="O1" authorId="1">
      <text>
        <r>
          <rPr>
            <sz val="8"/>
            <rFont val="Tahoma"/>
            <family val="2"/>
          </rPr>
          <t>FFI transfer rate = 120 MB/s</t>
        </r>
      </text>
    </comment>
    <comment ref="M1" authorId="1">
      <text>
        <r>
          <rPr>
            <sz val="8"/>
            <rFont val="Tahoma"/>
            <family val="2"/>
          </rPr>
          <t>FEC trailer length = 48 bytes</t>
        </r>
      </text>
    </comment>
    <comment ref="N1" authorId="1">
      <text>
        <r>
          <rPr>
            <sz val="8"/>
            <rFont val="Tahoma"/>
            <family val="0"/>
          </rPr>
          <t>DMU transfer rate = 25 MB/s</t>
        </r>
      </text>
    </comment>
  </commentList>
</comments>
</file>

<file path=xl/sharedStrings.xml><?xml version="1.0" encoding="utf-8"?>
<sst xmlns="http://schemas.openxmlformats.org/spreadsheetml/2006/main" count="47" uniqueCount="17">
  <si>
    <t>FEC</t>
  </si>
  <si>
    <t>DMU</t>
  </si>
  <si>
    <t>#</t>
  </si>
  <si>
    <t>Size</t>
  </si>
  <si>
    <t>Crate</t>
  </si>
  <si>
    <t>Config 2001</t>
  </si>
  <si>
    <t>SN</t>
  </si>
  <si>
    <t>DMU time</t>
  </si>
  <si>
    <t>FFI time</t>
  </si>
  <si>
    <t>Proposed configuration for Run 2003</t>
  </si>
  <si>
    <t>Idle</t>
  </si>
  <si>
    <t>Workers</t>
  </si>
  <si>
    <t>Constants:</t>
  </si>
  <si>
    <t xml:space="preserve"># </t>
  </si>
  <si>
    <t>Last updated:</t>
  </si>
  <si>
    <t>Configuration for Run 2003</t>
  </si>
  <si>
    <t>Total event length: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</si>
</sst>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4" borderId="5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7" fillId="5" borderId="13" xfId="0" applyNumberFormat="1" applyFont="1" applyFill="1" applyBorder="1" applyAlignment="1">
      <alignment/>
    </xf>
    <xf numFmtId="1" fontId="7" fillId="5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3" borderId="14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1" fontId="0" fillId="3" borderId="16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4" fontId="0" fillId="4" borderId="4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48</xdr:row>
      <xdr:rowOff>9525</xdr:rowOff>
    </xdr:from>
    <xdr:ext cx="5457825" cy="1171575"/>
    <xdr:sp>
      <xdr:nvSpPr>
        <xdr:cNvPr id="1" name="TextBox 1"/>
        <xdr:cNvSpPr txBox="1">
          <a:spLocks noChangeArrowheads="1"/>
        </xdr:cNvSpPr>
      </xdr:nvSpPr>
      <xdr:spPr>
        <a:xfrm>
          <a:off x="0" y="6905625"/>
          <a:ext cx="5457825" cy="11715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rial"/>
              <a:ea typeface="Arial"/>
              <a:cs typeface="Arial"/>
            </a:rPr>
            <a:t>Summary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Using proposed configuration the data transfer time will be reduced by 1917-1444 = 473 us.
The Mercury processing time should also be shorter by 20% due to reduced size of the longest worker.</a:t>
          </a:r>
        </a:p>
      </xdr:txBody>
    </xdr:sp>
    <xdr:clientData/>
  </xdr:oneCellAnchor>
  <xdr:twoCellAnchor>
    <xdr:from>
      <xdr:col>8</xdr:col>
      <xdr:colOff>0</xdr:colOff>
      <xdr:row>25</xdr:row>
      <xdr:rowOff>66675</xdr:rowOff>
    </xdr:from>
    <xdr:to>
      <xdr:col>9</xdr:col>
      <xdr:colOff>0</xdr:colOff>
      <xdr:row>28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266950" y="3676650"/>
          <a:ext cx="276225" cy="466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66675</xdr:rowOff>
    </xdr:from>
    <xdr:to>
      <xdr:col>9</xdr:col>
      <xdr:colOff>0</xdr:colOff>
      <xdr:row>40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2266950" y="3248025"/>
          <a:ext cx="276225" cy="2552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57150</xdr:rowOff>
    </xdr:from>
    <xdr:to>
      <xdr:col>9</xdr:col>
      <xdr:colOff>9525</xdr:colOff>
      <xdr:row>42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2266950" y="3381375"/>
          <a:ext cx="285750" cy="27336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104775</xdr:rowOff>
    </xdr:from>
    <xdr:to>
      <xdr:col>16</xdr:col>
      <xdr:colOff>57150</xdr:colOff>
      <xdr:row>28</xdr:row>
      <xdr:rowOff>95250</xdr:rowOff>
    </xdr:to>
    <xdr:sp>
      <xdr:nvSpPr>
        <xdr:cNvPr id="5" name="AutoShape 5"/>
        <xdr:cNvSpPr>
          <a:spLocks/>
        </xdr:cNvSpPr>
      </xdr:nvSpPr>
      <xdr:spPr>
        <a:xfrm flipV="1">
          <a:off x="2286000" y="3714750"/>
          <a:ext cx="2047875" cy="41910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16</xdr:col>
      <xdr:colOff>66675</xdr:colOff>
      <xdr:row>45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2266950" y="6353175"/>
          <a:ext cx="2076450" cy="20955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26</xdr:row>
      <xdr:rowOff>76200</xdr:rowOff>
    </xdr:from>
    <xdr:to>
      <xdr:col>9</xdr:col>
      <xdr:colOff>0</xdr:colOff>
      <xdr:row>45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2257425" y="3829050"/>
          <a:ext cx="285750" cy="2705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45</xdr:row>
      <xdr:rowOff>76200</xdr:rowOff>
    </xdr:from>
    <xdr:ext cx="5457825" cy="1171575"/>
    <xdr:sp>
      <xdr:nvSpPr>
        <xdr:cNvPr id="1" name="TextBox 18"/>
        <xdr:cNvSpPr txBox="1">
          <a:spLocks noChangeArrowheads="1"/>
        </xdr:cNvSpPr>
      </xdr:nvSpPr>
      <xdr:spPr>
        <a:xfrm>
          <a:off x="104775" y="6543675"/>
          <a:ext cx="5457825" cy="11715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rial"/>
              <a:ea typeface="Arial"/>
              <a:cs typeface="Arial"/>
            </a:rPr>
            <a:t>Summary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Using proposed configuration the data transfer time will be reduced by 1917-1449 = 468 us.
The Mercury processing time should also be shorter by 20% due to reduced size of the longest worker.</a:t>
          </a:r>
        </a:p>
      </xdr:txBody>
    </xdr:sp>
    <xdr:clientData/>
  </xdr:oneCellAnchor>
  <xdr:twoCellAnchor>
    <xdr:from>
      <xdr:col>8</xdr:col>
      <xdr:colOff>0</xdr:colOff>
      <xdr:row>25</xdr:row>
      <xdr:rowOff>66675</xdr:rowOff>
    </xdr:from>
    <xdr:to>
      <xdr:col>9</xdr:col>
      <xdr:colOff>0</xdr:colOff>
      <xdr:row>28</xdr:row>
      <xdr:rowOff>104775</xdr:rowOff>
    </xdr:to>
    <xdr:sp>
      <xdr:nvSpPr>
        <xdr:cNvPr id="2" name="AutoShape 46"/>
        <xdr:cNvSpPr>
          <a:spLocks/>
        </xdr:cNvSpPr>
      </xdr:nvSpPr>
      <xdr:spPr>
        <a:xfrm>
          <a:off x="2266950" y="3676650"/>
          <a:ext cx="276225" cy="466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66675</xdr:rowOff>
    </xdr:from>
    <xdr:to>
      <xdr:col>9</xdr:col>
      <xdr:colOff>0</xdr:colOff>
      <xdr:row>40</xdr:row>
      <xdr:rowOff>47625</xdr:rowOff>
    </xdr:to>
    <xdr:sp>
      <xdr:nvSpPr>
        <xdr:cNvPr id="3" name="AutoShape 47"/>
        <xdr:cNvSpPr>
          <a:spLocks/>
        </xdr:cNvSpPr>
      </xdr:nvSpPr>
      <xdr:spPr>
        <a:xfrm>
          <a:off x="2266950" y="3248025"/>
          <a:ext cx="276225" cy="2552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57150</xdr:rowOff>
    </xdr:from>
    <xdr:to>
      <xdr:col>9</xdr:col>
      <xdr:colOff>9525</xdr:colOff>
      <xdr:row>42</xdr:row>
      <xdr:rowOff>76200</xdr:rowOff>
    </xdr:to>
    <xdr:sp>
      <xdr:nvSpPr>
        <xdr:cNvPr id="4" name="AutoShape 48"/>
        <xdr:cNvSpPr>
          <a:spLocks/>
        </xdr:cNvSpPr>
      </xdr:nvSpPr>
      <xdr:spPr>
        <a:xfrm>
          <a:off x="2266950" y="3381375"/>
          <a:ext cx="285750" cy="27336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15</xdr:col>
      <xdr:colOff>276225</xdr:colOff>
      <xdr:row>28</xdr:row>
      <xdr:rowOff>95250</xdr:rowOff>
    </xdr:to>
    <xdr:sp>
      <xdr:nvSpPr>
        <xdr:cNvPr id="5" name="AutoShape 49"/>
        <xdr:cNvSpPr>
          <a:spLocks/>
        </xdr:cNvSpPr>
      </xdr:nvSpPr>
      <xdr:spPr>
        <a:xfrm flipV="1">
          <a:off x="2286000" y="3743325"/>
          <a:ext cx="1981200" cy="39052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28575</xdr:rowOff>
    </xdr:from>
    <xdr:to>
      <xdr:col>15</xdr:col>
      <xdr:colOff>276225</xdr:colOff>
      <xdr:row>44</xdr:row>
      <xdr:rowOff>133350</xdr:rowOff>
    </xdr:to>
    <xdr:sp>
      <xdr:nvSpPr>
        <xdr:cNvPr id="6" name="AutoShape 50"/>
        <xdr:cNvSpPr>
          <a:spLocks/>
        </xdr:cNvSpPr>
      </xdr:nvSpPr>
      <xdr:spPr>
        <a:xfrm>
          <a:off x="2266950" y="6353175"/>
          <a:ext cx="2000250" cy="10477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Z15" sqref="Z15"/>
    </sheetView>
  </sheetViews>
  <sheetFormatPr defaultColWidth="9.140625" defaultRowHeight="11.25" customHeight="1"/>
  <cols>
    <col min="1" max="4" width="3.57421875" style="3" customWidth="1"/>
    <col min="5" max="5" width="3.7109375" style="3" customWidth="1"/>
    <col min="6" max="6" width="6.00390625" style="3" customWidth="1"/>
    <col min="7" max="7" width="4.7109375" style="18" customWidth="1"/>
    <col min="8" max="8" width="5.28125" style="18" customWidth="1"/>
    <col min="9" max="9" width="4.140625" style="4" customWidth="1"/>
    <col min="10" max="14" width="3.140625" style="16" customWidth="1"/>
    <col min="15" max="15" width="6.00390625" style="16" customWidth="1"/>
    <col min="16" max="16" width="4.28125" style="16" customWidth="1"/>
    <col min="17" max="17" width="5.140625" style="16" customWidth="1"/>
    <col min="18" max="18" width="3.7109375" style="16" customWidth="1"/>
    <col min="19" max="19" width="6.140625" style="16" customWidth="1"/>
    <col min="20" max="20" width="7.00390625" style="3" customWidth="1"/>
    <col min="21" max="21" width="1.421875" style="3" customWidth="1"/>
    <col min="22" max="23" width="1.7109375" style="0" customWidth="1"/>
    <col min="31" max="16384" width="9.140625" style="3" customWidth="1"/>
  </cols>
  <sheetData>
    <row r="1" spans="1:15" ht="11.25" customHeight="1">
      <c r="A1" s="3" t="s">
        <v>13</v>
      </c>
      <c r="B1" s="3" t="s">
        <v>14</v>
      </c>
      <c r="F1" s="61">
        <v>37473</v>
      </c>
      <c r="G1" s="62"/>
      <c r="J1" s="63" t="s">
        <v>12</v>
      </c>
      <c r="K1" s="63"/>
      <c r="L1" s="63"/>
      <c r="M1" s="3">
        <v>48</v>
      </c>
      <c r="N1" s="3">
        <v>25</v>
      </c>
      <c r="O1" s="3">
        <v>120</v>
      </c>
    </row>
    <row r="2" spans="1:19" ht="14.25" customHeight="1">
      <c r="A2" s="64" t="s">
        <v>5</v>
      </c>
      <c r="B2" s="65"/>
      <c r="C2" s="65"/>
      <c r="D2" s="65"/>
      <c r="E2" s="65"/>
      <c r="F2" s="65"/>
      <c r="G2" s="37"/>
      <c r="H2" s="38"/>
      <c r="I2" s="39"/>
      <c r="J2" s="64" t="s">
        <v>15</v>
      </c>
      <c r="K2" s="65"/>
      <c r="L2" s="65"/>
      <c r="M2" s="65"/>
      <c r="N2" s="65"/>
      <c r="O2" s="65"/>
      <c r="P2" s="65"/>
      <c r="Q2" s="65"/>
      <c r="R2" s="65"/>
      <c r="S2" s="66"/>
    </row>
    <row r="3" spans="1:19" ht="11.25" customHeight="1">
      <c r="A3" s="5" t="s">
        <v>2</v>
      </c>
      <c r="B3" s="6" t="s">
        <v>6</v>
      </c>
      <c r="C3" s="5" t="s">
        <v>4</v>
      </c>
      <c r="D3" s="6" t="s">
        <v>1</v>
      </c>
      <c r="E3" s="29" t="s">
        <v>0</v>
      </c>
      <c r="F3" s="7" t="s">
        <v>3</v>
      </c>
      <c r="G3" s="36" t="s">
        <v>7</v>
      </c>
      <c r="H3" s="36" t="s">
        <v>8</v>
      </c>
      <c r="I3" s="11"/>
      <c r="J3" s="41" t="s">
        <v>2</v>
      </c>
      <c r="K3" s="41" t="s">
        <v>6</v>
      </c>
      <c r="L3" s="41" t="s">
        <v>4</v>
      </c>
      <c r="M3" s="41" t="s">
        <v>1</v>
      </c>
      <c r="N3" s="42" t="s">
        <v>0</v>
      </c>
      <c r="O3" s="41" t="s">
        <v>3</v>
      </c>
      <c r="P3" s="47" t="s">
        <v>7</v>
      </c>
      <c r="Q3" s="47" t="s">
        <v>8</v>
      </c>
      <c r="R3" s="40" t="s">
        <v>10</v>
      </c>
      <c r="S3" s="40" t="s">
        <v>11</v>
      </c>
    </row>
    <row r="4" spans="1:19" ht="11.25" customHeight="1">
      <c r="A4" s="1">
        <v>1</v>
      </c>
      <c r="B4" s="24">
        <v>1</v>
      </c>
      <c r="C4" s="2">
        <v>0</v>
      </c>
      <c r="D4" s="9">
        <v>2</v>
      </c>
      <c r="E4" s="2">
        <v>1</v>
      </c>
      <c r="F4" s="2">
        <v>12288</v>
      </c>
      <c r="G4" s="30">
        <f aca="true" t="shared" si="0" ref="G4:G45">F4/25</f>
        <v>491.52</v>
      </c>
      <c r="H4" s="31">
        <f>G4+F4/120</f>
        <v>593.92</v>
      </c>
      <c r="I4" s="11"/>
      <c r="J4" s="23">
        <v>1</v>
      </c>
      <c r="K4" s="24">
        <v>22</v>
      </c>
      <c r="L4" s="24">
        <v>0</v>
      </c>
      <c r="M4" s="56">
        <v>21</v>
      </c>
      <c r="N4" s="24">
        <v>22</v>
      </c>
      <c r="O4" s="24">
        <f>4096+$M$1</f>
        <v>4144</v>
      </c>
      <c r="P4" s="48">
        <f>O4/$N$1</f>
        <v>165.76</v>
      </c>
      <c r="Q4" s="25">
        <f>P4+O4/$O$1</f>
        <v>200.29333333333332</v>
      </c>
      <c r="R4" s="49"/>
      <c r="S4" s="67">
        <f>SUM(O4:O7)</f>
        <v>12480</v>
      </c>
    </row>
    <row r="5" spans="1:19" ht="11.25" customHeight="1">
      <c r="A5" s="17">
        <v>2</v>
      </c>
      <c r="B5" s="21">
        <v>2</v>
      </c>
      <c r="C5" s="8">
        <v>0</v>
      </c>
      <c r="D5" s="11">
        <v>3</v>
      </c>
      <c r="E5" s="8">
        <v>2</v>
      </c>
      <c r="F5" s="8">
        <v>8192</v>
      </c>
      <c r="G5" s="32">
        <f t="shared" si="0"/>
        <v>327.68</v>
      </c>
      <c r="H5" s="33">
        <f aca="true" t="shared" si="1" ref="H5:H29">MAX(H4,G5)+F5/120</f>
        <v>662.1866666666666</v>
      </c>
      <c r="I5" s="11"/>
      <c r="J5" s="20">
        <v>2</v>
      </c>
      <c r="K5" s="21">
        <v>19</v>
      </c>
      <c r="L5" s="21">
        <v>0</v>
      </c>
      <c r="M5" s="21">
        <v>20</v>
      </c>
      <c r="N5" s="21">
        <v>19</v>
      </c>
      <c r="O5" s="21">
        <f>$M$1+4096</f>
        <v>4144</v>
      </c>
      <c r="P5" s="50">
        <f>O5/$N$1</f>
        <v>165.76</v>
      </c>
      <c r="Q5" s="22">
        <f>MAX(Q4,P5)+O5/$O$1</f>
        <v>234.82666666666665</v>
      </c>
      <c r="R5" s="51">
        <f aca="true" t="shared" si="2" ref="R5:R26">IF(P5-Q4&gt;0,P5-Q4,0)</f>
        <v>0</v>
      </c>
      <c r="S5" s="68"/>
    </row>
    <row r="6" spans="1:19" ht="11.25" customHeight="1">
      <c r="A6" s="17">
        <v>3</v>
      </c>
      <c r="B6" s="8">
        <v>3</v>
      </c>
      <c r="C6" s="8">
        <v>0</v>
      </c>
      <c r="D6" s="11">
        <v>11</v>
      </c>
      <c r="E6" s="8">
        <v>3</v>
      </c>
      <c r="F6" s="8">
        <v>6144</v>
      </c>
      <c r="G6" s="32">
        <f t="shared" si="0"/>
        <v>245.76</v>
      </c>
      <c r="H6" s="33">
        <f t="shared" si="1"/>
        <v>713.3866666666667</v>
      </c>
      <c r="I6" s="11"/>
      <c r="J6" s="20">
        <v>3</v>
      </c>
      <c r="K6" s="21">
        <v>25</v>
      </c>
      <c r="L6" s="21">
        <v>0</v>
      </c>
      <c r="M6" s="21">
        <v>26</v>
      </c>
      <c r="N6" s="21">
        <v>25</v>
      </c>
      <c r="O6" s="21">
        <f>$M$1+2048</f>
        <v>2096</v>
      </c>
      <c r="P6" s="50">
        <f aca="true" t="shared" si="3" ref="P6:P26">O6/$N$1</f>
        <v>83.84</v>
      </c>
      <c r="Q6" s="22">
        <f aca="true" t="shared" si="4" ref="Q6:Q26">MAX(Q5,P6)+O6/$O$1</f>
        <v>252.29333333333332</v>
      </c>
      <c r="R6" s="51">
        <f t="shared" si="2"/>
        <v>0</v>
      </c>
      <c r="S6" s="68"/>
    </row>
    <row r="7" spans="1:19" ht="11.25" customHeight="1">
      <c r="A7" s="17">
        <v>4</v>
      </c>
      <c r="B7" s="8">
        <v>4</v>
      </c>
      <c r="C7" s="8">
        <v>0</v>
      </c>
      <c r="D7" s="11">
        <v>5</v>
      </c>
      <c r="E7" s="8">
        <v>4</v>
      </c>
      <c r="F7" s="8">
        <v>7168</v>
      </c>
      <c r="G7" s="32">
        <f t="shared" si="0"/>
        <v>286.72</v>
      </c>
      <c r="H7" s="33">
        <f t="shared" si="1"/>
        <v>773.12</v>
      </c>
      <c r="I7" s="11"/>
      <c r="J7" s="20">
        <v>4</v>
      </c>
      <c r="K7" s="21">
        <v>26</v>
      </c>
      <c r="L7" s="21">
        <v>0</v>
      </c>
      <c r="M7" s="21">
        <v>27</v>
      </c>
      <c r="N7" s="21">
        <v>26</v>
      </c>
      <c r="O7" s="21">
        <f>$M$1+2048</f>
        <v>2096</v>
      </c>
      <c r="P7" s="50">
        <f t="shared" si="3"/>
        <v>83.84</v>
      </c>
      <c r="Q7" s="22">
        <f t="shared" si="4"/>
        <v>269.76</v>
      </c>
      <c r="R7" s="51">
        <f t="shared" si="2"/>
        <v>0</v>
      </c>
      <c r="S7" s="69"/>
    </row>
    <row r="8" spans="1:19" ht="11.25" customHeight="1">
      <c r="A8" s="17">
        <v>5</v>
      </c>
      <c r="B8" s="21">
        <v>5</v>
      </c>
      <c r="C8" s="8">
        <v>0</v>
      </c>
      <c r="D8" s="11">
        <v>6</v>
      </c>
      <c r="E8" s="8">
        <v>5</v>
      </c>
      <c r="F8" s="8">
        <v>6656</v>
      </c>
      <c r="G8" s="32">
        <f t="shared" si="0"/>
        <v>266.24</v>
      </c>
      <c r="H8" s="33">
        <f t="shared" si="1"/>
        <v>828.5866666666667</v>
      </c>
      <c r="I8" s="11"/>
      <c r="J8" s="20">
        <v>5</v>
      </c>
      <c r="K8" s="21">
        <v>3</v>
      </c>
      <c r="L8" s="21">
        <v>0</v>
      </c>
      <c r="M8" s="21">
        <v>11</v>
      </c>
      <c r="N8" s="21">
        <v>3</v>
      </c>
      <c r="O8" s="21">
        <f>$M$1+6144</f>
        <v>6192</v>
      </c>
      <c r="P8" s="50">
        <f t="shared" si="3"/>
        <v>247.68</v>
      </c>
      <c r="Q8" s="22">
        <f t="shared" si="4"/>
        <v>321.36</v>
      </c>
      <c r="R8" s="51">
        <f t="shared" si="2"/>
        <v>0</v>
      </c>
      <c r="S8" s="67">
        <f>SUM(O8:O10)</f>
        <v>12896</v>
      </c>
    </row>
    <row r="9" spans="1:19" ht="11.25" customHeight="1">
      <c r="A9" s="17">
        <v>6</v>
      </c>
      <c r="B9" s="21">
        <v>6</v>
      </c>
      <c r="C9" s="8">
        <v>0</v>
      </c>
      <c r="D9" s="11">
        <v>7</v>
      </c>
      <c r="E9" s="8">
        <v>6</v>
      </c>
      <c r="F9" s="8">
        <v>6656</v>
      </c>
      <c r="G9" s="32">
        <f t="shared" si="0"/>
        <v>266.24</v>
      </c>
      <c r="H9" s="33">
        <f t="shared" si="1"/>
        <v>884.0533333333334</v>
      </c>
      <c r="I9" s="11"/>
      <c r="J9" s="20">
        <v>6</v>
      </c>
      <c r="K9" s="21">
        <v>8</v>
      </c>
      <c r="L9" s="21">
        <v>0</v>
      </c>
      <c r="M9" s="21">
        <v>9</v>
      </c>
      <c r="N9" s="21">
        <v>8</v>
      </c>
      <c r="O9" s="21">
        <f>$M$1+6656</f>
        <v>6704</v>
      </c>
      <c r="P9" s="50">
        <f t="shared" si="3"/>
        <v>268.16</v>
      </c>
      <c r="Q9" s="22">
        <f t="shared" si="4"/>
        <v>377.2266666666667</v>
      </c>
      <c r="R9" s="51">
        <f t="shared" si="2"/>
        <v>0</v>
      </c>
      <c r="S9" s="68"/>
    </row>
    <row r="10" spans="1:19" ht="11.25" customHeight="1">
      <c r="A10" s="17">
        <v>7</v>
      </c>
      <c r="B10" s="8">
        <v>7</v>
      </c>
      <c r="C10" s="8">
        <v>0</v>
      </c>
      <c r="D10" s="11">
        <v>8</v>
      </c>
      <c r="E10" s="8">
        <v>7</v>
      </c>
      <c r="F10" s="8">
        <v>6144</v>
      </c>
      <c r="G10" s="32">
        <f t="shared" si="0"/>
        <v>245.76</v>
      </c>
      <c r="H10" s="33">
        <f t="shared" si="1"/>
        <v>935.2533333333334</v>
      </c>
      <c r="I10" s="11"/>
      <c r="J10" s="20"/>
      <c r="K10" s="21"/>
      <c r="L10" s="21"/>
      <c r="M10" s="21"/>
      <c r="N10" s="21"/>
      <c r="O10" s="21"/>
      <c r="P10" s="50">
        <f t="shared" si="3"/>
        <v>0</v>
      </c>
      <c r="Q10" s="22">
        <f t="shared" si="4"/>
        <v>377.2266666666667</v>
      </c>
      <c r="R10" s="51">
        <f t="shared" si="2"/>
        <v>0</v>
      </c>
      <c r="S10" s="69"/>
    </row>
    <row r="11" spans="1:19" ht="11.25" customHeight="1">
      <c r="A11" s="17">
        <v>8</v>
      </c>
      <c r="B11" s="8">
        <v>8</v>
      </c>
      <c r="C11" s="8">
        <v>0</v>
      </c>
      <c r="D11" s="11">
        <v>9</v>
      </c>
      <c r="E11" s="8">
        <v>8</v>
      </c>
      <c r="F11" s="8">
        <v>6656</v>
      </c>
      <c r="G11" s="32">
        <f t="shared" si="0"/>
        <v>266.24</v>
      </c>
      <c r="H11" s="33">
        <f t="shared" si="1"/>
        <v>990.7200000000001</v>
      </c>
      <c r="I11" s="11"/>
      <c r="J11" s="20">
        <v>7</v>
      </c>
      <c r="K11" s="21">
        <v>7</v>
      </c>
      <c r="L11" s="21">
        <v>0</v>
      </c>
      <c r="M11" s="21">
        <v>8</v>
      </c>
      <c r="N11" s="21">
        <v>7</v>
      </c>
      <c r="O11" s="21">
        <f>$M$1+6144</f>
        <v>6192</v>
      </c>
      <c r="P11" s="50">
        <f t="shared" si="3"/>
        <v>247.68</v>
      </c>
      <c r="Q11" s="22">
        <f t="shared" si="4"/>
        <v>428.8266666666667</v>
      </c>
      <c r="R11" s="51">
        <f t="shared" si="2"/>
        <v>0</v>
      </c>
      <c r="S11" s="67">
        <f>SUM(O11:O12)</f>
        <v>14432</v>
      </c>
    </row>
    <row r="12" spans="1:19" ht="11.25" customHeight="1">
      <c r="A12" s="17">
        <v>9</v>
      </c>
      <c r="B12" s="21">
        <v>9</v>
      </c>
      <c r="C12" s="8">
        <v>0</v>
      </c>
      <c r="D12" s="11">
        <v>10</v>
      </c>
      <c r="E12" s="8">
        <v>9</v>
      </c>
      <c r="F12" s="8">
        <v>12288</v>
      </c>
      <c r="G12" s="32">
        <f t="shared" si="0"/>
        <v>491.52</v>
      </c>
      <c r="H12" s="33">
        <f t="shared" si="1"/>
        <v>1093.1200000000001</v>
      </c>
      <c r="I12" s="11"/>
      <c r="J12" s="20">
        <v>8</v>
      </c>
      <c r="K12" s="21">
        <v>11</v>
      </c>
      <c r="L12" s="21">
        <v>0</v>
      </c>
      <c r="M12" s="21">
        <v>12</v>
      </c>
      <c r="N12" s="21">
        <v>11</v>
      </c>
      <c r="O12" s="21">
        <f>$M$1+8192</f>
        <v>8240</v>
      </c>
      <c r="P12" s="50">
        <f t="shared" si="3"/>
        <v>329.6</v>
      </c>
      <c r="Q12" s="22">
        <f t="shared" si="4"/>
        <v>497.4933333333334</v>
      </c>
      <c r="R12" s="51">
        <f t="shared" si="2"/>
        <v>0</v>
      </c>
      <c r="S12" s="69"/>
    </row>
    <row r="13" spans="1:19" ht="11.25" customHeight="1">
      <c r="A13" s="17">
        <v>10</v>
      </c>
      <c r="B13" s="21">
        <v>10</v>
      </c>
      <c r="C13" s="8">
        <v>0</v>
      </c>
      <c r="D13" s="11">
        <v>4</v>
      </c>
      <c r="E13" s="8">
        <v>10</v>
      </c>
      <c r="F13" s="8">
        <v>8192</v>
      </c>
      <c r="G13" s="32">
        <f t="shared" si="0"/>
        <v>327.68</v>
      </c>
      <c r="H13" s="33">
        <f t="shared" si="1"/>
        <v>1161.3866666666668</v>
      </c>
      <c r="I13" s="11"/>
      <c r="J13" s="20">
        <v>9</v>
      </c>
      <c r="K13" s="21">
        <v>15</v>
      </c>
      <c r="L13" s="21">
        <v>0</v>
      </c>
      <c r="M13" s="21">
        <v>16</v>
      </c>
      <c r="N13" s="21">
        <v>15</v>
      </c>
      <c r="O13" s="21">
        <f>$M$1+6144</f>
        <v>6192</v>
      </c>
      <c r="P13" s="50">
        <f t="shared" si="3"/>
        <v>247.68</v>
      </c>
      <c r="Q13" s="22">
        <f t="shared" si="4"/>
        <v>549.0933333333334</v>
      </c>
      <c r="R13" s="51">
        <f t="shared" si="2"/>
        <v>0</v>
      </c>
      <c r="S13" s="67">
        <f>SUM(O13:O14)</f>
        <v>14432</v>
      </c>
    </row>
    <row r="14" spans="1:19" ht="11.25" customHeight="1">
      <c r="A14" s="17">
        <v>11</v>
      </c>
      <c r="B14" s="8">
        <v>11</v>
      </c>
      <c r="C14" s="8">
        <v>0</v>
      </c>
      <c r="D14" s="8">
        <v>12</v>
      </c>
      <c r="E14" s="8">
        <v>11</v>
      </c>
      <c r="F14" s="8">
        <v>8192</v>
      </c>
      <c r="G14" s="32">
        <f t="shared" si="0"/>
        <v>327.68</v>
      </c>
      <c r="H14" s="33">
        <f t="shared" si="1"/>
        <v>1229.6533333333334</v>
      </c>
      <c r="I14" s="11"/>
      <c r="J14" s="20">
        <v>10</v>
      </c>
      <c r="K14" s="21">
        <v>18</v>
      </c>
      <c r="L14" s="21">
        <v>0</v>
      </c>
      <c r="M14" s="21">
        <v>19</v>
      </c>
      <c r="N14" s="21">
        <v>18</v>
      </c>
      <c r="O14" s="21">
        <f>$M$1+8192</f>
        <v>8240</v>
      </c>
      <c r="P14" s="50">
        <f t="shared" si="3"/>
        <v>329.6</v>
      </c>
      <c r="Q14" s="22">
        <f t="shared" si="4"/>
        <v>617.76</v>
      </c>
      <c r="R14" s="51">
        <f t="shared" si="2"/>
        <v>0</v>
      </c>
      <c r="S14" s="69"/>
    </row>
    <row r="15" spans="1:19" ht="11.25" customHeight="1">
      <c r="A15" s="17">
        <v>12</v>
      </c>
      <c r="B15" s="8">
        <v>12</v>
      </c>
      <c r="C15" s="8">
        <v>0</v>
      </c>
      <c r="D15" s="8">
        <v>13</v>
      </c>
      <c r="E15" s="8">
        <v>12</v>
      </c>
      <c r="F15" s="8">
        <v>7680</v>
      </c>
      <c r="G15" s="32">
        <f t="shared" si="0"/>
        <v>307.2</v>
      </c>
      <c r="H15" s="33">
        <f t="shared" si="1"/>
        <v>1293.6533333333334</v>
      </c>
      <c r="I15" s="11"/>
      <c r="J15" s="20">
        <v>11</v>
      </c>
      <c r="K15" s="21">
        <v>5</v>
      </c>
      <c r="L15" s="21">
        <v>0</v>
      </c>
      <c r="M15" s="21">
        <v>6</v>
      </c>
      <c r="N15" s="21">
        <v>5</v>
      </c>
      <c r="O15" s="21">
        <f>$M$1+6656</f>
        <v>6704</v>
      </c>
      <c r="P15" s="50">
        <f t="shared" si="3"/>
        <v>268.16</v>
      </c>
      <c r="Q15" s="22">
        <f t="shared" si="4"/>
        <v>673.6266666666667</v>
      </c>
      <c r="R15" s="51">
        <f t="shared" si="2"/>
        <v>0</v>
      </c>
      <c r="S15" s="67">
        <f>SUM(O15:O16)</f>
        <v>14944</v>
      </c>
    </row>
    <row r="16" spans="1:19" ht="11.25" customHeight="1">
      <c r="A16" s="17">
        <v>13</v>
      </c>
      <c r="B16" s="21">
        <v>13</v>
      </c>
      <c r="C16" s="8">
        <v>0</v>
      </c>
      <c r="D16" s="8">
        <v>14</v>
      </c>
      <c r="E16" s="8">
        <v>13</v>
      </c>
      <c r="F16" s="8">
        <v>7168</v>
      </c>
      <c r="G16" s="32">
        <f t="shared" si="0"/>
        <v>286.72</v>
      </c>
      <c r="H16" s="33">
        <f t="shared" si="1"/>
        <v>1353.3866666666668</v>
      </c>
      <c r="I16" s="11"/>
      <c r="J16" s="20">
        <v>12</v>
      </c>
      <c r="K16" s="21">
        <v>2</v>
      </c>
      <c r="L16" s="21">
        <v>0</v>
      </c>
      <c r="M16" s="21">
        <v>3</v>
      </c>
      <c r="N16" s="21">
        <v>2</v>
      </c>
      <c r="O16" s="21">
        <f>$M$1+8192</f>
        <v>8240</v>
      </c>
      <c r="P16" s="50">
        <f t="shared" si="3"/>
        <v>329.6</v>
      </c>
      <c r="Q16" s="22">
        <f t="shared" si="4"/>
        <v>742.2933333333333</v>
      </c>
      <c r="R16" s="51">
        <f t="shared" si="2"/>
        <v>0</v>
      </c>
      <c r="S16" s="69"/>
    </row>
    <row r="17" spans="1:19" ht="11.25" customHeight="1">
      <c r="A17" s="17">
        <v>14</v>
      </c>
      <c r="B17" s="21">
        <v>14</v>
      </c>
      <c r="C17" s="8">
        <v>0</v>
      </c>
      <c r="D17" s="8">
        <v>15</v>
      </c>
      <c r="E17" s="8">
        <v>14</v>
      </c>
      <c r="F17" s="8">
        <v>6656</v>
      </c>
      <c r="G17" s="32">
        <f t="shared" si="0"/>
        <v>266.24</v>
      </c>
      <c r="H17" s="33">
        <f t="shared" si="1"/>
        <v>1408.8533333333335</v>
      </c>
      <c r="I17" s="11"/>
      <c r="J17" s="20">
        <v>13</v>
      </c>
      <c r="K17" s="21">
        <v>6</v>
      </c>
      <c r="L17" s="21">
        <v>0</v>
      </c>
      <c r="M17" s="21">
        <v>7</v>
      </c>
      <c r="N17" s="21">
        <v>6</v>
      </c>
      <c r="O17" s="21">
        <f>$M$1+6656</f>
        <v>6704</v>
      </c>
      <c r="P17" s="50">
        <f t="shared" si="3"/>
        <v>268.16</v>
      </c>
      <c r="Q17" s="22">
        <f t="shared" si="4"/>
        <v>798.16</v>
      </c>
      <c r="R17" s="51">
        <f t="shared" si="2"/>
        <v>0</v>
      </c>
      <c r="S17" s="67">
        <f>SUM(O17:O18)</f>
        <v>13920</v>
      </c>
    </row>
    <row r="18" spans="1:19" ht="11.25" customHeight="1">
      <c r="A18" s="17">
        <v>15</v>
      </c>
      <c r="B18" s="8">
        <v>15</v>
      </c>
      <c r="C18" s="8">
        <v>0</v>
      </c>
      <c r="D18" s="8">
        <v>16</v>
      </c>
      <c r="E18" s="8">
        <v>15</v>
      </c>
      <c r="F18" s="8">
        <v>6144</v>
      </c>
      <c r="G18" s="32">
        <f t="shared" si="0"/>
        <v>245.76</v>
      </c>
      <c r="H18" s="33">
        <f t="shared" si="1"/>
        <v>1460.0533333333335</v>
      </c>
      <c r="I18" s="11"/>
      <c r="J18" s="20">
        <v>14</v>
      </c>
      <c r="K18" s="21">
        <v>4</v>
      </c>
      <c r="L18" s="21">
        <v>0</v>
      </c>
      <c r="M18" s="21">
        <v>5</v>
      </c>
      <c r="N18" s="21">
        <v>4</v>
      </c>
      <c r="O18" s="21">
        <f>$M$1+7168</f>
        <v>7216</v>
      </c>
      <c r="P18" s="50">
        <f t="shared" si="3"/>
        <v>288.64</v>
      </c>
      <c r="Q18" s="22">
        <f t="shared" si="4"/>
        <v>858.2933333333333</v>
      </c>
      <c r="R18" s="51">
        <f t="shared" si="2"/>
        <v>0</v>
      </c>
      <c r="S18" s="69"/>
    </row>
    <row r="19" spans="1:19" ht="11.25" customHeight="1">
      <c r="A19" s="17">
        <v>16</v>
      </c>
      <c r="B19" s="8">
        <v>16</v>
      </c>
      <c r="C19" s="8">
        <v>0</v>
      </c>
      <c r="D19" s="8">
        <v>17</v>
      </c>
      <c r="E19" s="8">
        <v>16</v>
      </c>
      <c r="F19" s="8">
        <v>6656</v>
      </c>
      <c r="G19" s="32">
        <f t="shared" si="0"/>
        <v>266.24</v>
      </c>
      <c r="H19" s="33">
        <f t="shared" si="1"/>
        <v>1515.5200000000002</v>
      </c>
      <c r="I19" s="11"/>
      <c r="J19" s="20">
        <v>15</v>
      </c>
      <c r="K19" s="21">
        <v>14</v>
      </c>
      <c r="L19" s="21">
        <v>0</v>
      </c>
      <c r="M19" s="21">
        <v>15</v>
      </c>
      <c r="N19" s="21">
        <v>14</v>
      </c>
      <c r="O19" s="21">
        <f>$M$1+6656</f>
        <v>6704</v>
      </c>
      <c r="P19" s="50">
        <f t="shared" si="3"/>
        <v>268.16</v>
      </c>
      <c r="Q19" s="22">
        <f t="shared" si="4"/>
        <v>914.16</v>
      </c>
      <c r="R19" s="51">
        <f t="shared" si="2"/>
        <v>0</v>
      </c>
      <c r="S19" s="67">
        <f>SUM(O19:O20)</f>
        <v>14944</v>
      </c>
    </row>
    <row r="20" spans="1:19" ht="11.25" customHeight="1">
      <c r="A20" s="17">
        <v>17</v>
      </c>
      <c r="B20" s="21">
        <v>17</v>
      </c>
      <c r="C20" s="8">
        <v>0</v>
      </c>
      <c r="D20" s="8">
        <v>18</v>
      </c>
      <c r="E20" s="8">
        <v>17</v>
      </c>
      <c r="F20" s="8">
        <v>7680</v>
      </c>
      <c r="G20" s="32">
        <f t="shared" si="0"/>
        <v>307.2</v>
      </c>
      <c r="H20" s="33">
        <f t="shared" si="1"/>
        <v>1579.5200000000002</v>
      </c>
      <c r="I20" s="11"/>
      <c r="J20" s="20">
        <v>16</v>
      </c>
      <c r="K20" s="21">
        <v>10</v>
      </c>
      <c r="L20" s="21">
        <v>0</v>
      </c>
      <c r="M20" s="21">
        <v>4</v>
      </c>
      <c r="N20" s="21">
        <v>10</v>
      </c>
      <c r="O20" s="21">
        <f>$M$1+8192</f>
        <v>8240</v>
      </c>
      <c r="P20" s="50">
        <f t="shared" si="3"/>
        <v>329.6</v>
      </c>
      <c r="Q20" s="22">
        <f t="shared" si="4"/>
        <v>982.8266666666666</v>
      </c>
      <c r="R20" s="51">
        <f t="shared" si="2"/>
        <v>0</v>
      </c>
      <c r="S20" s="69"/>
    </row>
    <row r="21" spans="1:19" ht="11.25" customHeight="1">
      <c r="A21" s="17">
        <v>18</v>
      </c>
      <c r="B21" s="21">
        <v>18</v>
      </c>
      <c r="C21" s="8">
        <v>0</v>
      </c>
      <c r="D21" s="8">
        <v>19</v>
      </c>
      <c r="E21" s="8">
        <v>18</v>
      </c>
      <c r="F21" s="8">
        <v>8192</v>
      </c>
      <c r="G21" s="32">
        <f t="shared" si="0"/>
        <v>327.68</v>
      </c>
      <c r="H21" s="33">
        <f t="shared" si="1"/>
        <v>1647.7866666666669</v>
      </c>
      <c r="I21" s="11"/>
      <c r="J21" s="20">
        <v>17</v>
      </c>
      <c r="K21" s="21">
        <v>13</v>
      </c>
      <c r="L21" s="21">
        <v>0</v>
      </c>
      <c r="M21" s="21">
        <v>14</v>
      </c>
      <c r="N21" s="21">
        <v>13</v>
      </c>
      <c r="O21" s="21">
        <f>$M$1+7168</f>
        <v>7216</v>
      </c>
      <c r="P21" s="50">
        <f t="shared" si="3"/>
        <v>288.64</v>
      </c>
      <c r="Q21" s="22">
        <f t="shared" si="4"/>
        <v>1042.96</v>
      </c>
      <c r="R21" s="51">
        <f t="shared" si="2"/>
        <v>0</v>
      </c>
      <c r="S21" s="67">
        <f>SUM(O21:O22)</f>
        <v>14944</v>
      </c>
    </row>
    <row r="22" spans="1:19" ht="11.25" customHeight="1">
      <c r="A22" s="17">
        <v>19</v>
      </c>
      <c r="B22" s="8">
        <v>19</v>
      </c>
      <c r="C22" s="8">
        <v>0</v>
      </c>
      <c r="D22" s="8">
        <v>20</v>
      </c>
      <c r="E22" s="8">
        <v>19</v>
      </c>
      <c r="F22" s="8">
        <v>4096</v>
      </c>
      <c r="G22" s="32">
        <f t="shared" si="0"/>
        <v>163.84</v>
      </c>
      <c r="H22" s="33">
        <f t="shared" si="1"/>
        <v>1681.9200000000003</v>
      </c>
      <c r="I22" s="11"/>
      <c r="J22" s="20">
        <v>18</v>
      </c>
      <c r="K22" s="21">
        <v>12</v>
      </c>
      <c r="L22" s="21">
        <v>0</v>
      </c>
      <c r="M22" s="21">
        <v>13</v>
      </c>
      <c r="N22" s="21">
        <v>12</v>
      </c>
      <c r="O22" s="21">
        <f>$M$1+7680</f>
        <v>7728</v>
      </c>
      <c r="P22" s="50">
        <f t="shared" si="3"/>
        <v>309.12</v>
      </c>
      <c r="Q22" s="22">
        <f t="shared" si="4"/>
        <v>1107.3600000000001</v>
      </c>
      <c r="R22" s="51">
        <f t="shared" si="2"/>
        <v>0</v>
      </c>
      <c r="S22" s="69"/>
    </row>
    <row r="23" spans="1:19" ht="11.25" customHeight="1">
      <c r="A23" s="17">
        <v>20</v>
      </c>
      <c r="B23" s="8">
        <v>20</v>
      </c>
      <c r="C23" s="8">
        <v>0</v>
      </c>
      <c r="D23" s="8">
        <v>21</v>
      </c>
      <c r="E23" s="8">
        <v>20</v>
      </c>
      <c r="F23" s="8">
        <v>7680</v>
      </c>
      <c r="G23" s="32">
        <f t="shared" si="0"/>
        <v>307.2</v>
      </c>
      <c r="H23" s="33">
        <f t="shared" si="1"/>
        <v>1745.9200000000003</v>
      </c>
      <c r="I23" s="11"/>
      <c r="J23" s="20">
        <v>19</v>
      </c>
      <c r="K23" s="21">
        <v>16</v>
      </c>
      <c r="L23" s="21">
        <v>0</v>
      </c>
      <c r="M23" s="21">
        <v>17</v>
      </c>
      <c r="N23" s="21">
        <v>16</v>
      </c>
      <c r="O23" s="21">
        <f>$M$1+6656</f>
        <v>6704</v>
      </c>
      <c r="P23" s="50">
        <f t="shared" si="3"/>
        <v>268.16</v>
      </c>
      <c r="Q23" s="22">
        <f t="shared" si="4"/>
        <v>1163.2266666666667</v>
      </c>
      <c r="R23" s="51">
        <f t="shared" si="2"/>
        <v>0</v>
      </c>
      <c r="S23" s="67">
        <f>SUM(O23:O24)</f>
        <v>14432</v>
      </c>
    </row>
    <row r="24" spans="1:19" ht="11.25" customHeight="1">
      <c r="A24" s="17">
        <v>21</v>
      </c>
      <c r="B24" s="21">
        <v>21</v>
      </c>
      <c r="C24" s="8">
        <v>0</v>
      </c>
      <c r="D24" s="8">
        <v>22</v>
      </c>
      <c r="E24" s="8">
        <v>21</v>
      </c>
      <c r="F24" s="8">
        <v>8192</v>
      </c>
      <c r="G24" s="32">
        <f t="shared" si="0"/>
        <v>327.68</v>
      </c>
      <c r="H24" s="33">
        <f t="shared" si="1"/>
        <v>1814.186666666667</v>
      </c>
      <c r="I24" s="11"/>
      <c r="J24" s="20">
        <v>20</v>
      </c>
      <c r="K24" s="21">
        <v>17</v>
      </c>
      <c r="L24" s="21">
        <v>0</v>
      </c>
      <c r="M24" s="21">
        <v>18</v>
      </c>
      <c r="N24" s="21">
        <v>17</v>
      </c>
      <c r="O24" s="21">
        <f>$M$1+7680</f>
        <v>7728</v>
      </c>
      <c r="P24" s="50">
        <f t="shared" si="3"/>
        <v>309.12</v>
      </c>
      <c r="Q24" s="22">
        <f t="shared" si="4"/>
        <v>1227.6266666666668</v>
      </c>
      <c r="R24" s="51">
        <f t="shared" si="2"/>
        <v>0</v>
      </c>
      <c r="S24" s="69"/>
    </row>
    <row r="25" spans="1:19" ht="11.25" customHeight="1">
      <c r="A25" s="17">
        <v>22</v>
      </c>
      <c r="B25" s="21">
        <v>22</v>
      </c>
      <c r="C25" s="8">
        <v>0</v>
      </c>
      <c r="D25" s="8">
        <v>23</v>
      </c>
      <c r="E25" s="8">
        <v>22</v>
      </c>
      <c r="F25" s="8">
        <v>4096</v>
      </c>
      <c r="G25" s="32">
        <f t="shared" si="0"/>
        <v>163.84</v>
      </c>
      <c r="H25" s="33">
        <f t="shared" si="1"/>
        <v>1848.3200000000004</v>
      </c>
      <c r="I25" s="11"/>
      <c r="J25" s="20">
        <v>21</v>
      </c>
      <c r="K25" s="21">
        <v>1</v>
      </c>
      <c r="L25" s="21">
        <v>0</v>
      </c>
      <c r="M25" s="21">
        <v>2</v>
      </c>
      <c r="N25" s="21">
        <v>1</v>
      </c>
      <c r="O25" s="21">
        <f>$M$1+12288</f>
        <v>12336</v>
      </c>
      <c r="P25" s="50">
        <f t="shared" si="3"/>
        <v>493.44</v>
      </c>
      <c r="Q25" s="22">
        <f t="shared" si="4"/>
        <v>1330.4266666666667</v>
      </c>
      <c r="R25" s="51">
        <f t="shared" si="2"/>
        <v>0</v>
      </c>
      <c r="S25" s="46">
        <f>O25</f>
        <v>12336</v>
      </c>
    </row>
    <row r="26" spans="1:20" ht="11.25" customHeight="1">
      <c r="A26" s="17">
        <v>23</v>
      </c>
      <c r="B26" s="8">
        <v>23</v>
      </c>
      <c r="C26" s="8">
        <v>0</v>
      </c>
      <c r="D26" s="8">
        <v>24</v>
      </c>
      <c r="E26" s="8">
        <v>23</v>
      </c>
      <c r="F26" s="8">
        <v>2048</v>
      </c>
      <c r="G26" s="32">
        <f t="shared" si="0"/>
        <v>81.92</v>
      </c>
      <c r="H26" s="33">
        <f t="shared" si="1"/>
        <v>1865.386666666667</v>
      </c>
      <c r="I26" s="11"/>
      <c r="J26" s="20">
        <v>22</v>
      </c>
      <c r="K26" s="21">
        <v>9</v>
      </c>
      <c r="L26" s="21">
        <v>0</v>
      </c>
      <c r="M26" s="21">
        <v>10</v>
      </c>
      <c r="N26" s="21">
        <v>9</v>
      </c>
      <c r="O26" s="21">
        <f>$M$1+12288</f>
        <v>12336</v>
      </c>
      <c r="P26" s="50">
        <f t="shared" si="3"/>
        <v>493.44</v>
      </c>
      <c r="Q26" s="22">
        <f t="shared" si="4"/>
        <v>1433.2266666666667</v>
      </c>
      <c r="R26" s="51">
        <f t="shared" si="2"/>
        <v>0</v>
      </c>
      <c r="S26" s="46">
        <f>O26</f>
        <v>12336</v>
      </c>
      <c r="T26" s="3">
        <f>SUM(O4:O26)</f>
        <v>152096</v>
      </c>
    </row>
    <row r="27" spans="1:22" ht="11.25" customHeight="1">
      <c r="A27" s="17">
        <v>24</v>
      </c>
      <c r="B27" s="8">
        <v>24</v>
      </c>
      <c r="C27" s="8">
        <v>0</v>
      </c>
      <c r="D27" s="8">
        <v>25</v>
      </c>
      <c r="E27" s="8">
        <v>24</v>
      </c>
      <c r="F27" s="8">
        <v>2048</v>
      </c>
      <c r="G27" s="32">
        <f t="shared" si="0"/>
        <v>81.92</v>
      </c>
      <c r="H27" s="33">
        <f t="shared" si="1"/>
        <v>1882.4533333333336</v>
      </c>
      <c r="I27" s="11"/>
      <c r="J27" s="23">
        <v>1</v>
      </c>
      <c r="K27" s="24">
        <v>15</v>
      </c>
      <c r="L27" s="24">
        <v>1</v>
      </c>
      <c r="M27" s="24">
        <v>16</v>
      </c>
      <c r="N27" s="24">
        <v>47</v>
      </c>
      <c r="O27" s="57">
        <f>$M$1+6144</f>
        <v>6192</v>
      </c>
      <c r="P27" s="48">
        <f aca="true" t="shared" si="5" ref="P27:P46">O27/$N$1</f>
        <v>247.68</v>
      </c>
      <c r="Q27" s="25">
        <f>P27+O27/$O$1</f>
        <v>299.28000000000003</v>
      </c>
      <c r="R27" s="43"/>
      <c r="S27" s="67">
        <f>SUM(O27:O29)</f>
        <v>14992</v>
      </c>
      <c r="V27" s="76"/>
    </row>
    <row r="28" spans="1:22" ht="11.25" customHeight="1">
      <c r="A28" s="17">
        <v>25</v>
      </c>
      <c r="B28" s="21">
        <v>25</v>
      </c>
      <c r="C28" s="8">
        <v>0</v>
      </c>
      <c r="D28" s="8">
        <v>26</v>
      </c>
      <c r="E28" s="8">
        <v>25</v>
      </c>
      <c r="F28" s="8">
        <v>2048</v>
      </c>
      <c r="G28" s="32">
        <f t="shared" si="0"/>
        <v>81.92</v>
      </c>
      <c r="H28" s="33">
        <f t="shared" si="1"/>
        <v>1899.5200000000002</v>
      </c>
      <c r="I28" s="11"/>
      <c r="J28" s="20">
        <v>2</v>
      </c>
      <c r="K28" s="21">
        <v>14</v>
      </c>
      <c r="L28" s="21">
        <v>1</v>
      </c>
      <c r="M28" s="21">
        <v>15</v>
      </c>
      <c r="N28" s="21">
        <v>46</v>
      </c>
      <c r="O28" s="58">
        <f>$M$1+6656</f>
        <v>6704</v>
      </c>
      <c r="P28" s="50">
        <f t="shared" si="5"/>
        <v>268.16</v>
      </c>
      <c r="Q28" s="22">
        <f>MAX(Q27,P28)+O28/$O$1</f>
        <v>355.1466666666667</v>
      </c>
      <c r="R28" s="44">
        <f aca="true" t="shared" si="6" ref="R28:R46">IF(P28-Q27&gt;0,P28-Q27,0)</f>
        <v>0</v>
      </c>
      <c r="S28" s="68"/>
      <c r="V28" s="77"/>
    </row>
    <row r="29" spans="1:22" ht="11.25" customHeight="1">
      <c r="A29" s="5">
        <v>26</v>
      </c>
      <c r="B29" s="27">
        <v>26</v>
      </c>
      <c r="C29" s="6">
        <v>0</v>
      </c>
      <c r="D29" s="6">
        <v>27</v>
      </c>
      <c r="E29" s="6">
        <v>26</v>
      </c>
      <c r="F29" s="6">
        <v>2048</v>
      </c>
      <c r="G29" s="34">
        <f t="shared" si="0"/>
        <v>81.92</v>
      </c>
      <c r="H29" s="35">
        <f t="shared" si="1"/>
        <v>1916.5866666666668</v>
      </c>
      <c r="I29" s="11"/>
      <c r="J29" s="20">
        <v>3</v>
      </c>
      <c r="K29" s="15">
        <v>23</v>
      </c>
      <c r="L29" s="15">
        <v>1</v>
      </c>
      <c r="M29" s="15">
        <v>24</v>
      </c>
      <c r="N29" s="15">
        <v>23</v>
      </c>
      <c r="O29" s="59">
        <f>$M$1+2048</f>
        <v>2096</v>
      </c>
      <c r="P29" s="50">
        <f t="shared" si="5"/>
        <v>83.84</v>
      </c>
      <c r="Q29" s="22">
        <f aca="true" t="shared" si="7" ref="Q29:Q46">MAX(Q28,P29)+O29/$O$1</f>
        <v>372.61333333333334</v>
      </c>
      <c r="R29" s="44">
        <f t="shared" si="6"/>
        <v>0</v>
      </c>
      <c r="S29" s="69"/>
      <c r="V29" s="77">
        <v>1</v>
      </c>
    </row>
    <row r="30" spans="1:22" ht="11.25" customHeight="1">
      <c r="A30" s="12">
        <v>27</v>
      </c>
      <c r="B30" s="8">
        <v>1</v>
      </c>
      <c r="C30" s="8">
        <v>1</v>
      </c>
      <c r="D30" s="8">
        <v>2</v>
      </c>
      <c r="E30" s="8">
        <v>27</v>
      </c>
      <c r="F30" s="8">
        <v>12288</v>
      </c>
      <c r="G30" s="32">
        <f t="shared" si="0"/>
        <v>491.52</v>
      </c>
      <c r="H30" s="33">
        <f>G30+F30/120</f>
        <v>593.92</v>
      </c>
      <c r="I30" s="11"/>
      <c r="J30" s="20">
        <v>4</v>
      </c>
      <c r="K30" s="21">
        <v>2</v>
      </c>
      <c r="L30" s="21">
        <v>1</v>
      </c>
      <c r="M30" s="21">
        <v>3</v>
      </c>
      <c r="N30" s="21">
        <v>28</v>
      </c>
      <c r="O30" s="58">
        <f>$M$1+6144</f>
        <v>6192</v>
      </c>
      <c r="P30" s="50">
        <f t="shared" si="5"/>
        <v>247.68</v>
      </c>
      <c r="Q30" s="22">
        <f t="shared" si="7"/>
        <v>424.21333333333337</v>
      </c>
      <c r="R30" s="44">
        <f t="shared" si="6"/>
        <v>0</v>
      </c>
      <c r="S30" s="67">
        <f>SUM(O30:O31)</f>
        <v>14432</v>
      </c>
      <c r="V30" s="77">
        <v>1</v>
      </c>
    </row>
    <row r="31" spans="1:22" ht="11.25" customHeight="1">
      <c r="A31" s="12">
        <v>28</v>
      </c>
      <c r="B31" s="8">
        <v>2</v>
      </c>
      <c r="C31" s="8">
        <v>1</v>
      </c>
      <c r="D31" s="8">
        <v>3</v>
      </c>
      <c r="E31" s="8">
        <v>28</v>
      </c>
      <c r="F31" s="8">
        <v>6144</v>
      </c>
      <c r="G31" s="32">
        <f t="shared" si="0"/>
        <v>245.76</v>
      </c>
      <c r="H31" s="33">
        <f aca="true" t="shared" si="8" ref="H31:H45">MAX(H30,G31)+F31/120</f>
        <v>645.12</v>
      </c>
      <c r="I31" s="11"/>
      <c r="J31" s="20">
        <v>5</v>
      </c>
      <c r="K31" s="21">
        <v>3</v>
      </c>
      <c r="L31" s="21">
        <v>1</v>
      </c>
      <c r="M31" s="21">
        <v>4</v>
      </c>
      <c r="N31" s="21">
        <v>29</v>
      </c>
      <c r="O31" s="58">
        <f>$M$1+8192</f>
        <v>8240</v>
      </c>
      <c r="P31" s="50">
        <f t="shared" si="5"/>
        <v>329.6</v>
      </c>
      <c r="Q31" s="22">
        <f t="shared" si="7"/>
        <v>492.88000000000005</v>
      </c>
      <c r="R31" s="44">
        <f t="shared" si="6"/>
        <v>0</v>
      </c>
      <c r="S31" s="69"/>
      <c r="V31" s="77">
        <v>1</v>
      </c>
    </row>
    <row r="32" spans="1:22" ht="11.25" customHeight="1">
      <c r="A32" s="12">
        <v>29</v>
      </c>
      <c r="B32" s="21">
        <v>3</v>
      </c>
      <c r="C32" s="8">
        <v>1</v>
      </c>
      <c r="D32" s="8">
        <v>4</v>
      </c>
      <c r="E32" s="8">
        <v>29</v>
      </c>
      <c r="F32" s="8">
        <v>8192</v>
      </c>
      <c r="G32" s="32">
        <f t="shared" si="0"/>
        <v>327.68</v>
      </c>
      <c r="H32" s="33">
        <f t="shared" si="8"/>
        <v>713.3866666666667</v>
      </c>
      <c r="I32" s="11"/>
      <c r="J32" s="20">
        <v>6</v>
      </c>
      <c r="K32" s="21">
        <v>7</v>
      </c>
      <c r="L32" s="21">
        <v>1</v>
      </c>
      <c r="M32" s="21">
        <v>8</v>
      </c>
      <c r="N32" s="21">
        <v>39</v>
      </c>
      <c r="O32" s="58">
        <f>$M$1+6144</f>
        <v>6192</v>
      </c>
      <c r="P32" s="50">
        <f t="shared" si="5"/>
        <v>247.68</v>
      </c>
      <c r="Q32" s="22">
        <f t="shared" si="7"/>
        <v>544.48</v>
      </c>
      <c r="R32" s="44">
        <f t="shared" si="6"/>
        <v>0</v>
      </c>
      <c r="S32" s="67">
        <f>SUM(O32:O33)</f>
        <v>14432</v>
      </c>
      <c r="V32" s="77"/>
    </row>
    <row r="33" spans="1:22" ht="11.25" customHeight="1">
      <c r="A33" s="12">
        <v>30</v>
      </c>
      <c r="B33" s="21">
        <v>4</v>
      </c>
      <c r="C33" s="8">
        <v>1</v>
      </c>
      <c r="D33" s="8">
        <v>5</v>
      </c>
      <c r="E33" s="8">
        <v>36</v>
      </c>
      <c r="F33" s="8">
        <v>7680</v>
      </c>
      <c r="G33" s="32">
        <f t="shared" si="0"/>
        <v>307.2</v>
      </c>
      <c r="H33" s="33">
        <f t="shared" si="8"/>
        <v>777.3866666666667</v>
      </c>
      <c r="I33" s="11"/>
      <c r="J33" s="20">
        <v>7</v>
      </c>
      <c r="K33" s="21">
        <v>10</v>
      </c>
      <c r="L33" s="21">
        <v>1</v>
      </c>
      <c r="M33" s="21">
        <v>11</v>
      </c>
      <c r="N33" s="21">
        <v>42</v>
      </c>
      <c r="O33" s="58">
        <f>$M$1+8192</f>
        <v>8240</v>
      </c>
      <c r="P33" s="50">
        <f t="shared" si="5"/>
        <v>329.6</v>
      </c>
      <c r="Q33" s="22">
        <f t="shared" si="7"/>
        <v>613.1466666666666</v>
      </c>
      <c r="R33" s="44">
        <f t="shared" si="6"/>
        <v>0</v>
      </c>
      <c r="S33" s="69"/>
      <c r="V33" s="77"/>
    </row>
    <row r="34" spans="1:22" ht="11.25" customHeight="1">
      <c r="A34" s="12">
        <v>31</v>
      </c>
      <c r="B34" s="8">
        <v>5</v>
      </c>
      <c r="C34" s="8">
        <v>1</v>
      </c>
      <c r="D34" s="8">
        <v>6</v>
      </c>
      <c r="E34" s="8">
        <v>37</v>
      </c>
      <c r="F34" s="8">
        <v>7168</v>
      </c>
      <c r="G34" s="32">
        <f t="shared" si="0"/>
        <v>286.72</v>
      </c>
      <c r="H34" s="33">
        <f t="shared" si="8"/>
        <v>837.12</v>
      </c>
      <c r="I34" s="11"/>
      <c r="J34" s="20">
        <v>8</v>
      </c>
      <c r="K34" s="21">
        <v>12</v>
      </c>
      <c r="L34" s="21">
        <v>1</v>
      </c>
      <c r="M34" s="21">
        <v>13</v>
      </c>
      <c r="N34" s="21">
        <v>44</v>
      </c>
      <c r="O34" s="58">
        <f>$M$1+7168</f>
        <v>7216</v>
      </c>
      <c r="P34" s="50">
        <f t="shared" si="5"/>
        <v>288.64</v>
      </c>
      <c r="Q34" s="22">
        <f t="shared" si="7"/>
        <v>673.28</v>
      </c>
      <c r="R34" s="44">
        <f t="shared" si="6"/>
        <v>0</v>
      </c>
      <c r="S34" s="67">
        <f>SUM(O34:O35)</f>
        <v>14432</v>
      </c>
      <c r="V34" s="77">
        <v>1</v>
      </c>
    </row>
    <row r="35" spans="1:22" ht="11.25" customHeight="1">
      <c r="A35" s="12">
        <v>32</v>
      </c>
      <c r="B35" s="8">
        <v>6</v>
      </c>
      <c r="C35" s="8">
        <v>1</v>
      </c>
      <c r="D35" s="8">
        <v>7</v>
      </c>
      <c r="E35" s="8">
        <v>38</v>
      </c>
      <c r="F35" s="8">
        <v>6656</v>
      </c>
      <c r="G35" s="32">
        <f t="shared" si="0"/>
        <v>266.24</v>
      </c>
      <c r="H35" s="33">
        <f t="shared" si="8"/>
        <v>892.5866666666667</v>
      </c>
      <c r="I35" s="11"/>
      <c r="J35" s="20">
        <v>9</v>
      </c>
      <c r="K35" s="21">
        <v>5</v>
      </c>
      <c r="L35" s="21">
        <v>1</v>
      </c>
      <c r="M35" s="21">
        <v>6</v>
      </c>
      <c r="N35" s="21">
        <v>37</v>
      </c>
      <c r="O35" s="58">
        <f>$M$1+7168</f>
        <v>7216</v>
      </c>
      <c r="P35" s="50">
        <f t="shared" si="5"/>
        <v>288.64</v>
      </c>
      <c r="Q35" s="22">
        <f t="shared" si="7"/>
        <v>733.4133333333333</v>
      </c>
      <c r="R35" s="44">
        <f t="shared" si="6"/>
        <v>0</v>
      </c>
      <c r="S35" s="69"/>
      <c r="V35" s="77">
        <v>1</v>
      </c>
    </row>
    <row r="36" spans="1:22" ht="11.25" customHeight="1">
      <c r="A36" s="12">
        <v>33</v>
      </c>
      <c r="B36" s="21">
        <v>7</v>
      </c>
      <c r="C36" s="8">
        <v>1</v>
      </c>
      <c r="D36" s="8">
        <v>8</v>
      </c>
      <c r="E36" s="8">
        <v>39</v>
      </c>
      <c r="F36" s="8">
        <v>6144</v>
      </c>
      <c r="G36" s="32">
        <f t="shared" si="0"/>
        <v>245.76</v>
      </c>
      <c r="H36" s="33">
        <f t="shared" si="8"/>
        <v>943.7866666666667</v>
      </c>
      <c r="I36" s="11"/>
      <c r="J36" s="20">
        <v>10</v>
      </c>
      <c r="K36" s="21">
        <v>16</v>
      </c>
      <c r="L36" s="21">
        <v>1</v>
      </c>
      <c r="M36" s="21">
        <v>17</v>
      </c>
      <c r="N36" s="21">
        <v>48</v>
      </c>
      <c r="O36" s="58">
        <f>$M$1+6656</f>
        <v>6704</v>
      </c>
      <c r="P36" s="50">
        <f t="shared" si="5"/>
        <v>268.16</v>
      </c>
      <c r="Q36" s="22">
        <f t="shared" si="7"/>
        <v>789.28</v>
      </c>
      <c r="R36" s="44">
        <f t="shared" si="6"/>
        <v>0</v>
      </c>
      <c r="S36" s="67">
        <f>SUM(O36:O37)</f>
        <v>14944</v>
      </c>
      <c r="V36" s="77">
        <v>1</v>
      </c>
    </row>
    <row r="37" spans="1:22" ht="11.25" customHeight="1">
      <c r="A37" s="12">
        <v>34</v>
      </c>
      <c r="B37" s="21">
        <v>8</v>
      </c>
      <c r="C37" s="8">
        <v>1</v>
      </c>
      <c r="D37" s="8">
        <v>9</v>
      </c>
      <c r="E37" s="8">
        <v>40</v>
      </c>
      <c r="F37" s="8">
        <v>6656</v>
      </c>
      <c r="G37" s="32">
        <f t="shared" si="0"/>
        <v>266.24</v>
      </c>
      <c r="H37" s="33">
        <f t="shared" si="8"/>
        <v>999.2533333333334</v>
      </c>
      <c r="I37" s="11"/>
      <c r="J37" s="20">
        <v>11</v>
      </c>
      <c r="K37" s="21">
        <v>11</v>
      </c>
      <c r="L37" s="21">
        <v>1</v>
      </c>
      <c r="M37" s="21">
        <v>12</v>
      </c>
      <c r="N37" s="21">
        <v>43</v>
      </c>
      <c r="O37" s="58">
        <f>$M$1+8192</f>
        <v>8240</v>
      </c>
      <c r="P37" s="50">
        <f t="shared" si="5"/>
        <v>329.6</v>
      </c>
      <c r="Q37" s="22">
        <f t="shared" si="7"/>
        <v>857.9466666666666</v>
      </c>
      <c r="R37" s="44">
        <f t="shared" si="6"/>
        <v>0</v>
      </c>
      <c r="S37" s="69"/>
      <c r="V37" s="77"/>
    </row>
    <row r="38" spans="1:22" ht="11.25" customHeight="1">
      <c r="A38" s="12">
        <v>35</v>
      </c>
      <c r="B38" s="8">
        <v>9</v>
      </c>
      <c r="C38" s="8">
        <v>1</v>
      </c>
      <c r="D38" s="8">
        <v>10</v>
      </c>
      <c r="E38" s="8">
        <v>41</v>
      </c>
      <c r="F38" s="8">
        <v>12288</v>
      </c>
      <c r="G38" s="32">
        <f t="shared" si="0"/>
        <v>491.52</v>
      </c>
      <c r="H38" s="33">
        <f t="shared" si="8"/>
        <v>1101.6533333333334</v>
      </c>
      <c r="I38" s="11"/>
      <c r="J38" s="20">
        <v>12</v>
      </c>
      <c r="K38" s="21">
        <v>13</v>
      </c>
      <c r="L38" s="21">
        <v>1</v>
      </c>
      <c r="M38" s="21">
        <v>14</v>
      </c>
      <c r="N38" s="21">
        <v>45</v>
      </c>
      <c r="O38" s="58">
        <f>$M$1+6656</f>
        <v>6704</v>
      </c>
      <c r="P38" s="50">
        <f t="shared" si="5"/>
        <v>268.16</v>
      </c>
      <c r="Q38" s="22">
        <f t="shared" si="7"/>
        <v>913.8133333333333</v>
      </c>
      <c r="R38" s="44">
        <f t="shared" si="6"/>
        <v>0</v>
      </c>
      <c r="S38" s="67">
        <f>SUM(O38:O39)</f>
        <v>14432</v>
      </c>
      <c r="V38" s="77"/>
    </row>
    <row r="39" spans="1:22" ht="11.25" customHeight="1">
      <c r="A39" s="12">
        <v>36</v>
      </c>
      <c r="B39" s="8">
        <v>10</v>
      </c>
      <c r="C39" s="8">
        <v>1</v>
      </c>
      <c r="D39" s="8">
        <v>11</v>
      </c>
      <c r="E39" s="8">
        <v>42</v>
      </c>
      <c r="F39" s="8">
        <v>8192</v>
      </c>
      <c r="G39" s="32">
        <f t="shared" si="0"/>
        <v>327.68</v>
      </c>
      <c r="H39" s="33">
        <f t="shared" si="8"/>
        <v>1169.92</v>
      </c>
      <c r="I39" s="11"/>
      <c r="J39" s="20">
        <v>13</v>
      </c>
      <c r="K39" s="21">
        <v>4</v>
      </c>
      <c r="L39" s="21">
        <v>1</v>
      </c>
      <c r="M39" s="21">
        <v>5</v>
      </c>
      <c r="N39" s="21">
        <v>36</v>
      </c>
      <c r="O39" s="58">
        <f>$M$1+7680</f>
        <v>7728</v>
      </c>
      <c r="P39" s="50">
        <f t="shared" si="5"/>
        <v>309.12</v>
      </c>
      <c r="Q39" s="22">
        <f t="shared" si="7"/>
        <v>978.2133333333333</v>
      </c>
      <c r="R39" s="44">
        <f t="shared" si="6"/>
        <v>0</v>
      </c>
      <c r="S39" s="69"/>
      <c r="V39" s="77"/>
    </row>
    <row r="40" spans="1:22" ht="11.25" customHeight="1">
      <c r="A40" s="12">
        <v>37</v>
      </c>
      <c r="B40" s="21">
        <v>11</v>
      </c>
      <c r="C40" s="8">
        <v>1</v>
      </c>
      <c r="D40" s="8">
        <v>12</v>
      </c>
      <c r="E40" s="8">
        <v>43</v>
      </c>
      <c r="F40" s="8">
        <v>8192</v>
      </c>
      <c r="G40" s="32">
        <f t="shared" si="0"/>
        <v>327.68</v>
      </c>
      <c r="H40" s="33">
        <f t="shared" si="8"/>
        <v>1238.1866666666667</v>
      </c>
      <c r="I40" s="11"/>
      <c r="J40" s="20">
        <v>14</v>
      </c>
      <c r="K40" s="21">
        <v>6</v>
      </c>
      <c r="L40" s="21">
        <v>1</v>
      </c>
      <c r="M40" s="21">
        <v>7</v>
      </c>
      <c r="N40" s="21">
        <v>38</v>
      </c>
      <c r="O40" s="58">
        <f>$M$1+6656</f>
        <v>6704</v>
      </c>
      <c r="P40" s="50">
        <f t="shared" si="5"/>
        <v>268.16</v>
      </c>
      <c r="Q40" s="22">
        <f t="shared" si="7"/>
        <v>1034.08</v>
      </c>
      <c r="R40" s="44">
        <f t="shared" si="6"/>
        <v>0</v>
      </c>
      <c r="S40" s="67">
        <f>SUM(O40:O41)</f>
        <v>14432</v>
      </c>
      <c r="V40" s="77">
        <v>1</v>
      </c>
    </row>
    <row r="41" spans="1:22" ht="11.25" customHeight="1">
      <c r="A41" s="12">
        <v>38</v>
      </c>
      <c r="B41" s="21">
        <v>12</v>
      </c>
      <c r="C41" s="8">
        <v>1</v>
      </c>
      <c r="D41" s="8">
        <v>13</v>
      </c>
      <c r="E41" s="8">
        <v>44</v>
      </c>
      <c r="F41" s="8">
        <v>7168</v>
      </c>
      <c r="G41" s="32">
        <f t="shared" si="0"/>
        <v>286.72</v>
      </c>
      <c r="H41" s="33">
        <f t="shared" si="8"/>
        <v>1297.92</v>
      </c>
      <c r="I41" s="11"/>
      <c r="J41" s="20">
        <v>15</v>
      </c>
      <c r="K41" s="15">
        <v>20</v>
      </c>
      <c r="L41" s="15">
        <v>1</v>
      </c>
      <c r="M41" s="15">
        <v>22</v>
      </c>
      <c r="N41" s="15">
        <v>20</v>
      </c>
      <c r="O41" s="59">
        <f>$M$1+7680</f>
        <v>7728</v>
      </c>
      <c r="P41" s="50">
        <f t="shared" si="5"/>
        <v>309.12</v>
      </c>
      <c r="Q41" s="22">
        <f t="shared" si="7"/>
        <v>1098.48</v>
      </c>
      <c r="R41" s="44">
        <f t="shared" si="6"/>
        <v>0</v>
      </c>
      <c r="S41" s="69"/>
      <c r="V41" s="77">
        <v>1</v>
      </c>
    </row>
    <row r="42" spans="1:22" ht="11.25" customHeight="1">
      <c r="A42" s="12">
        <v>39</v>
      </c>
      <c r="B42" s="8">
        <v>13</v>
      </c>
      <c r="C42" s="8">
        <v>1</v>
      </c>
      <c r="D42" s="8">
        <v>14</v>
      </c>
      <c r="E42" s="8">
        <v>45</v>
      </c>
      <c r="F42" s="8">
        <v>6656</v>
      </c>
      <c r="G42" s="32">
        <f t="shared" si="0"/>
        <v>266.24</v>
      </c>
      <c r="H42" s="33">
        <f t="shared" si="8"/>
        <v>1353.3866666666668</v>
      </c>
      <c r="I42" s="11"/>
      <c r="J42" s="20">
        <v>16</v>
      </c>
      <c r="K42" s="21">
        <v>8</v>
      </c>
      <c r="L42" s="21">
        <v>1</v>
      </c>
      <c r="M42" s="21">
        <v>9</v>
      </c>
      <c r="N42" s="21">
        <v>40</v>
      </c>
      <c r="O42" s="58">
        <f>$M$1+6656</f>
        <v>6704</v>
      </c>
      <c r="P42" s="50">
        <f t="shared" si="5"/>
        <v>268.16</v>
      </c>
      <c r="Q42" s="22">
        <f t="shared" si="7"/>
        <v>1154.3466666666666</v>
      </c>
      <c r="R42" s="44">
        <f t="shared" si="6"/>
        <v>0</v>
      </c>
      <c r="S42" s="67">
        <f>SUM(O42:O43)</f>
        <v>14944</v>
      </c>
      <c r="V42" s="77"/>
    </row>
    <row r="43" spans="1:22" ht="11.25" customHeight="1">
      <c r="A43" s="12">
        <v>40</v>
      </c>
      <c r="B43" s="8">
        <v>14</v>
      </c>
      <c r="C43" s="8">
        <v>1</v>
      </c>
      <c r="D43" s="8">
        <v>15</v>
      </c>
      <c r="E43" s="8">
        <v>46</v>
      </c>
      <c r="F43" s="8">
        <v>6656</v>
      </c>
      <c r="G43" s="32">
        <f t="shared" si="0"/>
        <v>266.24</v>
      </c>
      <c r="H43" s="33">
        <f t="shared" si="8"/>
        <v>1408.8533333333335</v>
      </c>
      <c r="I43" s="11"/>
      <c r="J43" s="20">
        <v>17</v>
      </c>
      <c r="K43" s="15">
        <v>21</v>
      </c>
      <c r="L43" s="15">
        <v>1</v>
      </c>
      <c r="M43" s="15">
        <v>23</v>
      </c>
      <c r="N43" s="15">
        <v>21</v>
      </c>
      <c r="O43" s="59">
        <f>$M$1+8192</f>
        <v>8240</v>
      </c>
      <c r="P43" s="50">
        <f t="shared" si="5"/>
        <v>329.6</v>
      </c>
      <c r="Q43" s="22">
        <f t="shared" si="7"/>
        <v>1223.0133333333333</v>
      </c>
      <c r="R43" s="44">
        <f t="shared" si="6"/>
        <v>0</v>
      </c>
      <c r="S43" s="69"/>
      <c r="V43" s="77">
        <v>1</v>
      </c>
    </row>
    <row r="44" spans="1:22" ht="11.25" customHeight="1">
      <c r="A44" s="12">
        <v>41</v>
      </c>
      <c r="B44" s="21">
        <v>15</v>
      </c>
      <c r="C44" s="8">
        <v>1</v>
      </c>
      <c r="D44" s="8">
        <v>16</v>
      </c>
      <c r="E44" s="8">
        <v>47</v>
      </c>
      <c r="F44" s="8">
        <v>6144</v>
      </c>
      <c r="G44" s="32">
        <f t="shared" si="0"/>
        <v>245.76</v>
      </c>
      <c r="H44" s="33">
        <f t="shared" si="8"/>
        <v>1460.0533333333335</v>
      </c>
      <c r="I44" s="11"/>
      <c r="J44" s="20">
        <v>18</v>
      </c>
      <c r="K44" s="21">
        <v>1</v>
      </c>
      <c r="L44" s="21">
        <v>1</v>
      </c>
      <c r="M44" s="21">
        <v>2</v>
      </c>
      <c r="N44" s="21">
        <v>27</v>
      </c>
      <c r="O44" s="58">
        <f>$M$1+12288</f>
        <v>12336</v>
      </c>
      <c r="P44" s="50">
        <f t="shared" si="5"/>
        <v>493.44</v>
      </c>
      <c r="Q44" s="22">
        <f t="shared" si="7"/>
        <v>1325.8133333333333</v>
      </c>
      <c r="R44" s="44">
        <f t="shared" si="6"/>
        <v>0</v>
      </c>
      <c r="S44" s="67">
        <f>O44+O45</f>
        <v>14432</v>
      </c>
      <c r="V44" s="77"/>
    </row>
    <row r="45" spans="1:22" ht="11.25" customHeight="1" thickBot="1">
      <c r="A45" s="13">
        <v>42</v>
      </c>
      <c r="B45" s="54">
        <v>16</v>
      </c>
      <c r="C45" s="14">
        <v>1</v>
      </c>
      <c r="D45" s="14">
        <v>17</v>
      </c>
      <c r="E45" s="14">
        <v>48</v>
      </c>
      <c r="F45" s="14">
        <v>6656</v>
      </c>
      <c r="G45" s="34">
        <f t="shared" si="0"/>
        <v>266.24</v>
      </c>
      <c r="H45" s="35">
        <f t="shared" si="8"/>
        <v>1515.5200000000002</v>
      </c>
      <c r="I45" s="11"/>
      <c r="J45" s="20">
        <v>19</v>
      </c>
      <c r="K45" s="15">
        <v>24</v>
      </c>
      <c r="L45" s="15">
        <v>1</v>
      </c>
      <c r="M45" s="15">
        <v>25</v>
      </c>
      <c r="N45" s="15">
        <v>24</v>
      </c>
      <c r="O45" s="59">
        <f>$M$1+2048</f>
        <v>2096</v>
      </c>
      <c r="P45" s="50">
        <f t="shared" si="5"/>
        <v>83.84</v>
      </c>
      <c r="Q45" s="22">
        <f t="shared" si="7"/>
        <v>1343.28</v>
      </c>
      <c r="R45" s="44">
        <f t="shared" si="6"/>
        <v>0</v>
      </c>
      <c r="S45" s="70"/>
      <c r="V45" s="77">
        <v>1</v>
      </c>
    </row>
    <row r="46" spans="6:22" ht="11.25" customHeight="1">
      <c r="F46" s="11"/>
      <c r="I46" s="11"/>
      <c r="J46" s="26">
        <v>20</v>
      </c>
      <c r="K46" s="27">
        <v>9</v>
      </c>
      <c r="L46" s="27">
        <v>1</v>
      </c>
      <c r="M46" s="27">
        <v>10</v>
      </c>
      <c r="N46" s="27">
        <v>41</v>
      </c>
      <c r="O46" s="60">
        <f>$M$1+12288</f>
        <v>12336</v>
      </c>
      <c r="P46" s="52">
        <f t="shared" si="5"/>
        <v>493.44</v>
      </c>
      <c r="Q46" s="22">
        <f t="shared" si="7"/>
        <v>1446.08</v>
      </c>
      <c r="R46" s="45">
        <f t="shared" si="6"/>
        <v>0</v>
      </c>
      <c r="S46" s="55">
        <f>O46</f>
        <v>12336</v>
      </c>
      <c r="T46" s="3">
        <f>SUM(O27:O46)</f>
        <v>143808</v>
      </c>
      <c r="V46" s="78">
        <v>1</v>
      </c>
    </row>
    <row r="47" spans="1:19" ht="11.25" customHeight="1">
      <c r="A47" s="3" t="s">
        <v>16</v>
      </c>
      <c r="E47" s="71">
        <f>SUM(F3:F45)</f>
        <v>293888</v>
      </c>
      <c r="F47" s="72"/>
      <c r="I47" s="11"/>
      <c r="J47" s="11"/>
      <c r="K47" s="11"/>
      <c r="L47" s="11"/>
      <c r="M47" s="11"/>
      <c r="N47" s="71">
        <f>SUM(O4:O46)</f>
        <v>295904</v>
      </c>
      <c r="O47" s="72"/>
      <c r="P47" s="22"/>
      <c r="Q47" s="22"/>
      <c r="R47" s="73">
        <f>SUM(S4:S46)</f>
        <v>295904</v>
      </c>
      <c r="S47" s="74"/>
    </row>
    <row r="48" spans="10:19" ht="11.25" customHeight="1">
      <c r="J48" s="11"/>
      <c r="K48" s="11"/>
      <c r="L48" s="11"/>
      <c r="M48" s="11"/>
      <c r="N48" s="71"/>
      <c r="O48" s="72"/>
      <c r="P48" s="19"/>
      <c r="Q48" s="19"/>
      <c r="R48" s="71"/>
      <c r="S48" s="72"/>
    </row>
    <row r="50" spans="10:19" ht="11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</row>
  </sheetData>
  <mergeCells count="27">
    <mergeCell ref="S42:S43"/>
    <mergeCell ref="S44:S45"/>
    <mergeCell ref="E47:F47"/>
    <mergeCell ref="N48:O48"/>
    <mergeCell ref="R48:S48"/>
    <mergeCell ref="N47:O47"/>
    <mergeCell ref="R47:S47"/>
    <mergeCell ref="S34:S35"/>
    <mergeCell ref="S36:S37"/>
    <mergeCell ref="S38:S39"/>
    <mergeCell ref="S40:S41"/>
    <mergeCell ref="S23:S24"/>
    <mergeCell ref="S27:S29"/>
    <mergeCell ref="S30:S31"/>
    <mergeCell ref="S32:S33"/>
    <mergeCell ref="S15:S16"/>
    <mergeCell ref="S17:S18"/>
    <mergeCell ref="S19:S20"/>
    <mergeCell ref="S21:S22"/>
    <mergeCell ref="S4:S7"/>
    <mergeCell ref="S8:S10"/>
    <mergeCell ref="S11:S12"/>
    <mergeCell ref="S13:S14"/>
    <mergeCell ref="F1:G1"/>
    <mergeCell ref="J1:L1"/>
    <mergeCell ref="A2:F2"/>
    <mergeCell ref="J2:S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M1" sqref="M1:O1"/>
    </sheetView>
  </sheetViews>
  <sheetFormatPr defaultColWidth="9.140625" defaultRowHeight="11.25" customHeight="1"/>
  <cols>
    <col min="1" max="4" width="3.57421875" style="3" customWidth="1"/>
    <col min="5" max="5" width="3.7109375" style="3" customWidth="1"/>
    <col min="6" max="6" width="6.00390625" style="3" customWidth="1"/>
    <col min="7" max="7" width="4.7109375" style="18" customWidth="1"/>
    <col min="8" max="8" width="5.28125" style="18" customWidth="1"/>
    <col min="9" max="9" width="4.140625" style="4" customWidth="1"/>
    <col min="10" max="14" width="3.140625" style="16" customWidth="1"/>
    <col min="15" max="15" width="6.00390625" style="16" customWidth="1"/>
    <col min="16" max="16" width="4.28125" style="16" customWidth="1"/>
    <col min="17" max="17" width="5.140625" style="16" customWidth="1"/>
    <col min="18" max="18" width="3.7109375" style="16" customWidth="1"/>
    <col min="19" max="19" width="6.140625" style="16" customWidth="1"/>
    <col min="20" max="20" width="7.00390625" style="3" customWidth="1"/>
    <col min="21" max="16384" width="9.140625" style="3" customWidth="1"/>
  </cols>
  <sheetData>
    <row r="1" spans="1:15" ht="11.25" customHeight="1">
      <c r="A1" s="3" t="s">
        <v>13</v>
      </c>
      <c r="B1" s="3" t="s">
        <v>14</v>
      </c>
      <c r="F1" s="75">
        <v>37459</v>
      </c>
      <c r="G1" s="63"/>
      <c r="J1" s="63" t="s">
        <v>12</v>
      </c>
      <c r="K1" s="63"/>
      <c r="L1" s="63"/>
      <c r="M1" s="3">
        <v>48</v>
      </c>
      <c r="N1" s="3">
        <v>25</v>
      </c>
      <c r="O1" s="3">
        <v>120</v>
      </c>
    </row>
    <row r="2" spans="1:19" ht="14.25" customHeight="1">
      <c r="A2" s="64" t="s">
        <v>5</v>
      </c>
      <c r="B2" s="65"/>
      <c r="C2" s="65"/>
      <c r="D2" s="65"/>
      <c r="E2" s="65"/>
      <c r="F2" s="65"/>
      <c r="G2" s="37"/>
      <c r="H2" s="38"/>
      <c r="I2" s="39"/>
      <c r="J2" s="64" t="s">
        <v>9</v>
      </c>
      <c r="K2" s="65"/>
      <c r="L2" s="65"/>
      <c r="M2" s="65"/>
      <c r="N2" s="65"/>
      <c r="O2" s="65"/>
      <c r="P2" s="65"/>
      <c r="Q2" s="65"/>
      <c r="R2" s="65"/>
      <c r="S2" s="66"/>
    </row>
    <row r="3" spans="1:19" ht="11.25" customHeight="1">
      <c r="A3" s="5" t="s">
        <v>2</v>
      </c>
      <c r="B3" s="6" t="s">
        <v>6</v>
      </c>
      <c r="C3" s="5" t="s">
        <v>4</v>
      </c>
      <c r="D3" s="6" t="s">
        <v>1</v>
      </c>
      <c r="E3" s="29" t="s">
        <v>0</v>
      </c>
      <c r="F3" s="7" t="s">
        <v>3</v>
      </c>
      <c r="G3" s="36" t="s">
        <v>7</v>
      </c>
      <c r="H3" s="36" t="s">
        <v>8</v>
      </c>
      <c r="I3" s="11"/>
      <c r="J3" s="41" t="s">
        <v>2</v>
      </c>
      <c r="K3" s="41" t="s">
        <v>6</v>
      </c>
      <c r="L3" s="41" t="s">
        <v>4</v>
      </c>
      <c r="M3" s="41" t="s">
        <v>1</v>
      </c>
      <c r="N3" s="42" t="s">
        <v>0</v>
      </c>
      <c r="O3" s="41" t="s">
        <v>3</v>
      </c>
      <c r="P3" s="47" t="s">
        <v>7</v>
      </c>
      <c r="Q3" s="47" t="s">
        <v>8</v>
      </c>
      <c r="R3" s="40" t="s">
        <v>10</v>
      </c>
      <c r="S3" s="40" t="s">
        <v>11</v>
      </c>
    </row>
    <row r="4" spans="1:19" ht="11.25" customHeight="1">
      <c r="A4" s="1">
        <v>1</v>
      </c>
      <c r="B4" s="2">
        <v>1</v>
      </c>
      <c r="C4" s="2">
        <v>0</v>
      </c>
      <c r="D4" s="9">
        <v>2</v>
      </c>
      <c r="E4" s="2">
        <v>1</v>
      </c>
      <c r="F4" s="2">
        <v>12288</v>
      </c>
      <c r="G4" s="30">
        <f aca="true" t="shared" si="0" ref="G4:G45">F4/25</f>
        <v>491.52</v>
      </c>
      <c r="H4" s="31">
        <f>G4+F4/120</f>
        <v>593.92</v>
      </c>
      <c r="I4" s="11"/>
      <c r="J4" s="23">
        <v>22</v>
      </c>
      <c r="K4" s="24">
        <v>22</v>
      </c>
      <c r="L4" s="24">
        <v>0</v>
      </c>
      <c r="M4" s="24">
        <v>23</v>
      </c>
      <c r="N4" s="24">
        <v>22</v>
      </c>
      <c r="O4" s="24">
        <v>4096</v>
      </c>
      <c r="P4" s="48">
        <f>O4/DMU_speed</f>
        <v>163.84</v>
      </c>
      <c r="Q4" s="25">
        <f>P4+(O4+Trailer_length)/FFI_Speed</f>
        <v>198.37333333333333</v>
      </c>
      <c r="R4" s="49"/>
      <c r="S4" s="67">
        <f>SUM(O4:O7)</f>
        <v>12288</v>
      </c>
    </row>
    <row r="5" spans="1:19" ht="11.25" customHeight="1">
      <c r="A5" s="17">
        <v>2</v>
      </c>
      <c r="B5" s="8">
        <v>2</v>
      </c>
      <c r="C5" s="8">
        <v>0</v>
      </c>
      <c r="D5" s="11">
        <v>3</v>
      </c>
      <c r="E5" s="8">
        <v>2</v>
      </c>
      <c r="F5" s="8">
        <v>8192</v>
      </c>
      <c r="G5" s="32">
        <f t="shared" si="0"/>
        <v>327.68</v>
      </c>
      <c r="H5" s="33">
        <f aca="true" t="shared" si="1" ref="H5:H29">MAX(H4,G5)+F5/120</f>
        <v>662.1866666666666</v>
      </c>
      <c r="I5" s="11"/>
      <c r="J5" s="20">
        <v>19</v>
      </c>
      <c r="K5" s="21">
        <v>19</v>
      </c>
      <c r="L5" s="21">
        <v>0</v>
      </c>
      <c r="M5" s="21">
        <v>20</v>
      </c>
      <c r="N5" s="21">
        <v>19</v>
      </c>
      <c r="O5" s="21">
        <v>4096</v>
      </c>
      <c r="P5" s="50">
        <f aca="true" t="shared" si="2" ref="P5:P45">O5/DMU_speed</f>
        <v>163.84</v>
      </c>
      <c r="Q5" s="22">
        <f>MAX(Q4,P5)+(O5+Trailer_length)/FFI_Speed</f>
        <v>232.90666666666667</v>
      </c>
      <c r="R5" s="51">
        <f aca="true" t="shared" si="3" ref="R5:R26">IF(P5-Q4&gt;0,P5-Q4,0)</f>
        <v>0</v>
      </c>
      <c r="S5" s="68"/>
    </row>
    <row r="6" spans="1:19" ht="11.25" customHeight="1">
      <c r="A6" s="17">
        <v>3</v>
      </c>
      <c r="B6" s="8">
        <v>3</v>
      </c>
      <c r="C6" s="8">
        <v>0</v>
      </c>
      <c r="D6" s="11">
        <v>11</v>
      </c>
      <c r="E6" s="8">
        <v>3</v>
      </c>
      <c r="F6" s="8">
        <v>6144</v>
      </c>
      <c r="G6" s="32">
        <f t="shared" si="0"/>
        <v>245.76</v>
      </c>
      <c r="H6" s="33">
        <f t="shared" si="1"/>
        <v>713.3866666666667</v>
      </c>
      <c r="I6" s="11"/>
      <c r="J6" s="20">
        <v>25</v>
      </c>
      <c r="K6" s="21">
        <v>25</v>
      </c>
      <c r="L6" s="21">
        <v>0</v>
      </c>
      <c r="M6" s="21">
        <v>26</v>
      </c>
      <c r="N6" s="21">
        <v>25</v>
      </c>
      <c r="O6" s="21">
        <v>2048</v>
      </c>
      <c r="P6" s="50">
        <f t="shared" si="2"/>
        <v>81.92</v>
      </c>
      <c r="Q6" s="22">
        <f aca="true" t="shared" si="4" ref="Q6:Q26">MAX(Q5,P6)+(O6+Trailer_length)/FFI_Speed</f>
        <v>250.37333333333333</v>
      </c>
      <c r="R6" s="51">
        <f t="shared" si="3"/>
        <v>0</v>
      </c>
      <c r="S6" s="68"/>
    </row>
    <row r="7" spans="1:19" ht="11.25" customHeight="1">
      <c r="A7" s="17">
        <v>4</v>
      </c>
      <c r="B7" s="8">
        <v>4</v>
      </c>
      <c r="C7" s="8">
        <v>0</v>
      </c>
      <c r="D7" s="11">
        <v>5</v>
      </c>
      <c r="E7" s="8">
        <v>4</v>
      </c>
      <c r="F7" s="8">
        <v>7168</v>
      </c>
      <c r="G7" s="32">
        <f t="shared" si="0"/>
        <v>286.72</v>
      </c>
      <c r="H7" s="33">
        <f t="shared" si="1"/>
        <v>773.12</v>
      </c>
      <c r="I7" s="11"/>
      <c r="J7" s="20">
        <v>26</v>
      </c>
      <c r="K7" s="21">
        <v>26</v>
      </c>
      <c r="L7" s="21">
        <v>0</v>
      </c>
      <c r="M7" s="21">
        <v>27</v>
      </c>
      <c r="N7" s="21">
        <v>26</v>
      </c>
      <c r="O7" s="21">
        <v>2048</v>
      </c>
      <c r="P7" s="50">
        <f t="shared" si="2"/>
        <v>81.92</v>
      </c>
      <c r="Q7" s="22">
        <f t="shared" si="4"/>
        <v>267.84</v>
      </c>
      <c r="R7" s="51">
        <f t="shared" si="3"/>
        <v>0</v>
      </c>
      <c r="S7" s="69"/>
    </row>
    <row r="8" spans="1:19" ht="11.25" customHeight="1">
      <c r="A8" s="17">
        <v>5</v>
      </c>
      <c r="B8" s="8">
        <v>5</v>
      </c>
      <c r="C8" s="8">
        <v>0</v>
      </c>
      <c r="D8" s="11">
        <v>6</v>
      </c>
      <c r="E8" s="8">
        <v>5</v>
      </c>
      <c r="F8" s="8">
        <v>6656</v>
      </c>
      <c r="G8" s="32">
        <f t="shared" si="0"/>
        <v>266.24</v>
      </c>
      <c r="H8" s="33">
        <f t="shared" si="1"/>
        <v>828.5866666666667</v>
      </c>
      <c r="I8" s="11"/>
      <c r="J8" s="20">
        <v>3</v>
      </c>
      <c r="K8" s="21">
        <v>3</v>
      </c>
      <c r="L8" s="21">
        <v>0</v>
      </c>
      <c r="M8" s="21">
        <v>11</v>
      </c>
      <c r="N8" s="21">
        <v>3</v>
      </c>
      <c r="O8" s="21">
        <v>6144</v>
      </c>
      <c r="P8" s="50">
        <f t="shared" si="2"/>
        <v>245.76</v>
      </c>
      <c r="Q8" s="22">
        <f t="shared" si="4"/>
        <v>319.44</v>
      </c>
      <c r="R8" s="51">
        <f t="shared" si="3"/>
        <v>0</v>
      </c>
      <c r="S8" s="67">
        <f>SUM(O8:O10)</f>
        <v>14848</v>
      </c>
    </row>
    <row r="9" spans="1:19" ht="11.25" customHeight="1">
      <c r="A9" s="17">
        <v>6</v>
      </c>
      <c r="B9" s="8">
        <v>6</v>
      </c>
      <c r="C9" s="8">
        <v>0</v>
      </c>
      <c r="D9" s="11">
        <v>7</v>
      </c>
      <c r="E9" s="8">
        <v>6</v>
      </c>
      <c r="F9" s="8">
        <v>6656</v>
      </c>
      <c r="G9" s="32">
        <f t="shared" si="0"/>
        <v>266.24</v>
      </c>
      <c r="H9" s="33">
        <f t="shared" si="1"/>
        <v>884.0533333333334</v>
      </c>
      <c r="I9" s="11"/>
      <c r="J9" s="20">
        <v>8</v>
      </c>
      <c r="K9" s="21">
        <v>8</v>
      </c>
      <c r="L9" s="21">
        <v>0</v>
      </c>
      <c r="M9" s="21">
        <v>9</v>
      </c>
      <c r="N9" s="21">
        <v>8</v>
      </c>
      <c r="O9" s="21">
        <v>6656</v>
      </c>
      <c r="P9" s="50">
        <f t="shared" si="2"/>
        <v>266.24</v>
      </c>
      <c r="Q9" s="22">
        <f t="shared" si="4"/>
        <v>375.3066666666667</v>
      </c>
      <c r="R9" s="51">
        <f t="shared" si="3"/>
        <v>0</v>
      </c>
      <c r="S9" s="68"/>
    </row>
    <row r="10" spans="1:19" ht="11.25" customHeight="1">
      <c r="A10" s="17">
        <v>7</v>
      </c>
      <c r="B10" s="8">
        <v>7</v>
      </c>
      <c r="C10" s="8">
        <v>0</v>
      </c>
      <c r="D10" s="11">
        <v>8</v>
      </c>
      <c r="E10" s="8">
        <v>7</v>
      </c>
      <c r="F10" s="8">
        <v>6144</v>
      </c>
      <c r="G10" s="32">
        <f t="shared" si="0"/>
        <v>245.76</v>
      </c>
      <c r="H10" s="33">
        <f t="shared" si="1"/>
        <v>935.2533333333334</v>
      </c>
      <c r="I10" s="11"/>
      <c r="J10" s="20">
        <v>24</v>
      </c>
      <c r="K10" s="21">
        <v>24</v>
      </c>
      <c r="L10" s="21">
        <v>0</v>
      </c>
      <c r="M10" s="21">
        <v>25</v>
      </c>
      <c r="N10" s="21">
        <v>24</v>
      </c>
      <c r="O10" s="21">
        <v>2048</v>
      </c>
      <c r="P10" s="50">
        <f t="shared" si="2"/>
        <v>81.92</v>
      </c>
      <c r="Q10" s="22">
        <f t="shared" si="4"/>
        <v>392.7733333333333</v>
      </c>
      <c r="R10" s="51">
        <f t="shared" si="3"/>
        <v>0</v>
      </c>
      <c r="S10" s="69"/>
    </row>
    <row r="11" spans="1:19" ht="11.25" customHeight="1">
      <c r="A11" s="17">
        <v>8</v>
      </c>
      <c r="B11" s="8">
        <v>8</v>
      </c>
      <c r="C11" s="8">
        <v>0</v>
      </c>
      <c r="D11" s="11">
        <v>9</v>
      </c>
      <c r="E11" s="8">
        <v>8</v>
      </c>
      <c r="F11" s="8">
        <v>6656</v>
      </c>
      <c r="G11" s="32">
        <f t="shared" si="0"/>
        <v>266.24</v>
      </c>
      <c r="H11" s="33">
        <f t="shared" si="1"/>
        <v>990.7200000000001</v>
      </c>
      <c r="I11" s="11"/>
      <c r="J11" s="20">
        <v>7</v>
      </c>
      <c r="K11" s="21">
        <v>7</v>
      </c>
      <c r="L11" s="21">
        <v>0</v>
      </c>
      <c r="M11" s="21">
        <v>8</v>
      </c>
      <c r="N11" s="21">
        <v>7</v>
      </c>
      <c r="O11" s="21">
        <v>6144</v>
      </c>
      <c r="P11" s="50">
        <f t="shared" si="2"/>
        <v>245.76</v>
      </c>
      <c r="Q11" s="22">
        <f t="shared" si="4"/>
        <v>444.37333333333333</v>
      </c>
      <c r="R11" s="51">
        <f t="shared" si="3"/>
        <v>0</v>
      </c>
      <c r="S11" s="67">
        <f>SUM(O11:O12)</f>
        <v>14336</v>
      </c>
    </row>
    <row r="12" spans="1:19" ht="11.25" customHeight="1">
      <c r="A12" s="17">
        <v>9</v>
      </c>
      <c r="B12" s="8">
        <v>9</v>
      </c>
      <c r="C12" s="8">
        <v>0</v>
      </c>
      <c r="D12" s="11">
        <v>10</v>
      </c>
      <c r="E12" s="8">
        <v>9</v>
      </c>
      <c r="F12" s="8">
        <v>12288</v>
      </c>
      <c r="G12" s="32">
        <f t="shared" si="0"/>
        <v>491.52</v>
      </c>
      <c r="H12" s="33">
        <f t="shared" si="1"/>
        <v>1093.1200000000001</v>
      </c>
      <c r="I12" s="11"/>
      <c r="J12" s="20">
        <v>11</v>
      </c>
      <c r="K12" s="21">
        <v>11</v>
      </c>
      <c r="L12" s="21">
        <v>0</v>
      </c>
      <c r="M12" s="21">
        <v>12</v>
      </c>
      <c r="N12" s="21">
        <v>11</v>
      </c>
      <c r="O12" s="21">
        <v>8192</v>
      </c>
      <c r="P12" s="50">
        <f t="shared" si="2"/>
        <v>327.68</v>
      </c>
      <c r="Q12" s="22">
        <f t="shared" si="4"/>
        <v>513.04</v>
      </c>
      <c r="R12" s="51">
        <f t="shared" si="3"/>
        <v>0</v>
      </c>
      <c r="S12" s="69"/>
    </row>
    <row r="13" spans="1:19" ht="11.25" customHeight="1">
      <c r="A13" s="17">
        <v>10</v>
      </c>
      <c r="B13" s="8">
        <v>10</v>
      </c>
      <c r="C13" s="8">
        <v>0</v>
      </c>
      <c r="D13" s="11">
        <v>4</v>
      </c>
      <c r="E13" s="8">
        <v>10</v>
      </c>
      <c r="F13" s="8">
        <v>8192</v>
      </c>
      <c r="G13" s="32">
        <f t="shared" si="0"/>
        <v>327.68</v>
      </c>
      <c r="H13" s="33">
        <f t="shared" si="1"/>
        <v>1161.3866666666668</v>
      </c>
      <c r="I13" s="11"/>
      <c r="J13" s="20">
        <v>15</v>
      </c>
      <c r="K13" s="21">
        <v>15</v>
      </c>
      <c r="L13" s="21">
        <v>0</v>
      </c>
      <c r="M13" s="21">
        <v>16</v>
      </c>
      <c r="N13" s="21">
        <v>15</v>
      </c>
      <c r="O13" s="21">
        <v>6144</v>
      </c>
      <c r="P13" s="50">
        <f t="shared" si="2"/>
        <v>245.76</v>
      </c>
      <c r="Q13" s="22">
        <f t="shared" si="4"/>
        <v>564.64</v>
      </c>
      <c r="R13" s="51">
        <f t="shared" si="3"/>
        <v>0</v>
      </c>
      <c r="S13" s="67">
        <f>SUM(O13:O14)</f>
        <v>14336</v>
      </c>
    </row>
    <row r="14" spans="1:19" ht="11.25" customHeight="1">
      <c r="A14" s="17">
        <v>11</v>
      </c>
      <c r="B14" s="8">
        <v>11</v>
      </c>
      <c r="C14" s="8">
        <v>0</v>
      </c>
      <c r="D14" s="8">
        <v>12</v>
      </c>
      <c r="E14" s="8">
        <v>11</v>
      </c>
      <c r="F14" s="8">
        <v>8192</v>
      </c>
      <c r="G14" s="32">
        <f t="shared" si="0"/>
        <v>327.68</v>
      </c>
      <c r="H14" s="33">
        <f t="shared" si="1"/>
        <v>1229.6533333333334</v>
      </c>
      <c r="I14" s="11"/>
      <c r="J14" s="20">
        <v>18</v>
      </c>
      <c r="K14" s="21">
        <v>18</v>
      </c>
      <c r="L14" s="21">
        <v>0</v>
      </c>
      <c r="M14" s="21">
        <v>19</v>
      </c>
      <c r="N14" s="21">
        <v>18</v>
      </c>
      <c r="O14" s="21">
        <v>8192</v>
      </c>
      <c r="P14" s="50">
        <f t="shared" si="2"/>
        <v>327.68</v>
      </c>
      <c r="Q14" s="22">
        <f t="shared" si="4"/>
        <v>633.3066666666666</v>
      </c>
      <c r="R14" s="51">
        <f t="shared" si="3"/>
        <v>0</v>
      </c>
      <c r="S14" s="69"/>
    </row>
    <row r="15" spans="1:19" ht="11.25" customHeight="1">
      <c r="A15" s="17">
        <v>12</v>
      </c>
      <c r="B15" s="8">
        <v>12</v>
      </c>
      <c r="C15" s="8">
        <v>0</v>
      </c>
      <c r="D15" s="8">
        <v>13</v>
      </c>
      <c r="E15" s="8">
        <v>12</v>
      </c>
      <c r="F15" s="8">
        <v>7680</v>
      </c>
      <c r="G15" s="32">
        <f t="shared" si="0"/>
        <v>307.2</v>
      </c>
      <c r="H15" s="33">
        <f t="shared" si="1"/>
        <v>1293.6533333333334</v>
      </c>
      <c r="I15" s="11"/>
      <c r="J15" s="20">
        <v>5</v>
      </c>
      <c r="K15" s="21">
        <v>5</v>
      </c>
      <c r="L15" s="21">
        <v>0</v>
      </c>
      <c r="M15" s="21">
        <v>6</v>
      </c>
      <c r="N15" s="21">
        <v>5</v>
      </c>
      <c r="O15" s="21">
        <v>6656</v>
      </c>
      <c r="P15" s="50">
        <f t="shared" si="2"/>
        <v>266.24</v>
      </c>
      <c r="Q15" s="22">
        <f t="shared" si="4"/>
        <v>689.1733333333333</v>
      </c>
      <c r="R15" s="51">
        <f t="shared" si="3"/>
        <v>0</v>
      </c>
      <c r="S15" s="67">
        <f>SUM(O15:O16)</f>
        <v>14848</v>
      </c>
    </row>
    <row r="16" spans="1:19" ht="11.25" customHeight="1">
      <c r="A16" s="17">
        <v>13</v>
      </c>
      <c r="B16" s="8">
        <v>13</v>
      </c>
      <c r="C16" s="8">
        <v>0</v>
      </c>
      <c r="D16" s="8">
        <v>14</v>
      </c>
      <c r="E16" s="8">
        <v>13</v>
      </c>
      <c r="F16" s="8">
        <v>7168</v>
      </c>
      <c r="G16" s="32">
        <f t="shared" si="0"/>
        <v>286.72</v>
      </c>
      <c r="H16" s="33">
        <f t="shared" si="1"/>
        <v>1353.3866666666668</v>
      </c>
      <c r="I16" s="11"/>
      <c r="J16" s="20">
        <v>2</v>
      </c>
      <c r="K16" s="21">
        <v>2</v>
      </c>
      <c r="L16" s="21">
        <v>0</v>
      </c>
      <c r="M16" s="21">
        <v>3</v>
      </c>
      <c r="N16" s="21">
        <v>2</v>
      </c>
      <c r="O16" s="21">
        <v>8192</v>
      </c>
      <c r="P16" s="50">
        <f t="shared" si="2"/>
        <v>327.68</v>
      </c>
      <c r="Q16" s="22">
        <f t="shared" si="4"/>
        <v>757.8399999999999</v>
      </c>
      <c r="R16" s="51">
        <f t="shared" si="3"/>
        <v>0</v>
      </c>
      <c r="S16" s="69"/>
    </row>
    <row r="17" spans="1:19" ht="11.25" customHeight="1">
      <c r="A17" s="17">
        <v>14</v>
      </c>
      <c r="B17" s="8">
        <v>14</v>
      </c>
      <c r="C17" s="8">
        <v>0</v>
      </c>
      <c r="D17" s="8">
        <v>15</v>
      </c>
      <c r="E17" s="8">
        <v>14</v>
      </c>
      <c r="F17" s="8">
        <v>6656</v>
      </c>
      <c r="G17" s="32">
        <f t="shared" si="0"/>
        <v>266.24</v>
      </c>
      <c r="H17" s="33">
        <f t="shared" si="1"/>
        <v>1408.8533333333335</v>
      </c>
      <c r="I17" s="11"/>
      <c r="J17" s="20">
        <v>6</v>
      </c>
      <c r="K17" s="21">
        <v>6</v>
      </c>
      <c r="L17" s="21">
        <v>0</v>
      </c>
      <c r="M17" s="21">
        <v>7</v>
      </c>
      <c r="N17" s="21">
        <v>6</v>
      </c>
      <c r="O17" s="21">
        <v>6656</v>
      </c>
      <c r="P17" s="50">
        <f t="shared" si="2"/>
        <v>266.24</v>
      </c>
      <c r="Q17" s="22">
        <f t="shared" si="4"/>
        <v>813.7066666666666</v>
      </c>
      <c r="R17" s="51">
        <f t="shared" si="3"/>
        <v>0</v>
      </c>
      <c r="S17" s="67">
        <f>SUM(O17:O18)</f>
        <v>13824</v>
      </c>
    </row>
    <row r="18" spans="1:19" ht="11.25" customHeight="1">
      <c r="A18" s="17">
        <v>15</v>
      </c>
      <c r="B18" s="8">
        <v>15</v>
      </c>
      <c r="C18" s="8">
        <v>0</v>
      </c>
      <c r="D18" s="8">
        <v>16</v>
      </c>
      <c r="E18" s="8">
        <v>15</v>
      </c>
      <c r="F18" s="8">
        <v>6144</v>
      </c>
      <c r="G18" s="32">
        <f t="shared" si="0"/>
        <v>245.76</v>
      </c>
      <c r="H18" s="33">
        <f t="shared" si="1"/>
        <v>1460.0533333333335</v>
      </c>
      <c r="I18" s="11"/>
      <c r="J18" s="20">
        <v>4</v>
      </c>
      <c r="K18" s="21">
        <v>4</v>
      </c>
      <c r="L18" s="21">
        <v>0</v>
      </c>
      <c r="M18" s="21">
        <v>5</v>
      </c>
      <c r="N18" s="21">
        <v>4</v>
      </c>
      <c r="O18" s="21">
        <v>7168</v>
      </c>
      <c r="P18" s="50">
        <f t="shared" si="2"/>
        <v>286.72</v>
      </c>
      <c r="Q18" s="22">
        <f t="shared" si="4"/>
        <v>873.8399999999999</v>
      </c>
      <c r="R18" s="51">
        <f t="shared" si="3"/>
        <v>0</v>
      </c>
      <c r="S18" s="69"/>
    </row>
    <row r="19" spans="1:19" ht="11.25" customHeight="1">
      <c r="A19" s="17">
        <v>16</v>
      </c>
      <c r="B19" s="8">
        <v>16</v>
      </c>
      <c r="C19" s="8">
        <v>0</v>
      </c>
      <c r="D19" s="8">
        <v>17</v>
      </c>
      <c r="E19" s="8">
        <v>16</v>
      </c>
      <c r="F19" s="8">
        <v>6656</v>
      </c>
      <c r="G19" s="32">
        <f t="shared" si="0"/>
        <v>266.24</v>
      </c>
      <c r="H19" s="33">
        <f t="shared" si="1"/>
        <v>1515.5200000000002</v>
      </c>
      <c r="I19" s="11"/>
      <c r="J19" s="20">
        <v>14</v>
      </c>
      <c r="K19" s="21">
        <v>14</v>
      </c>
      <c r="L19" s="21">
        <v>0</v>
      </c>
      <c r="M19" s="21">
        <v>15</v>
      </c>
      <c r="N19" s="21">
        <v>14</v>
      </c>
      <c r="O19" s="21">
        <v>6656</v>
      </c>
      <c r="P19" s="50">
        <f t="shared" si="2"/>
        <v>266.24</v>
      </c>
      <c r="Q19" s="22">
        <f t="shared" si="4"/>
        <v>929.7066666666666</v>
      </c>
      <c r="R19" s="51">
        <f t="shared" si="3"/>
        <v>0</v>
      </c>
      <c r="S19" s="67">
        <f>SUM(O19:O20)</f>
        <v>14848</v>
      </c>
    </row>
    <row r="20" spans="1:19" ht="11.25" customHeight="1">
      <c r="A20" s="17">
        <v>17</v>
      </c>
      <c r="B20" s="8">
        <v>17</v>
      </c>
      <c r="C20" s="8">
        <v>0</v>
      </c>
      <c r="D20" s="8">
        <v>18</v>
      </c>
      <c r="E20" s="8">
        <v>17</v>
      </c>
      <c r="F20" s="8">
        <v>7680</v>
      </c>
      <c r="G20" s="32">
        <f t="shared" si="0"/>
        <v>307.2</v>
      </c>
      <c r="H20" s="33">
        <f t="shared" si="1"/>
        <v>1579.5200000000002</v>
      </c>
      <c r="I20" s="11"/>
      <c r="J20" s="20">
        <v>10</v>
      </c>
      <c r="K20" s="21">
        <v>10</v>
      </c>
      <c r="L20" s="21">
        <v>0</v>
      </c>
      <c r="M20" s="21">
        <v>4</v>
      </c>
      <c r="N20" s="21">
        <v>10</v>
      </c>
      <c r="O20" s="21">
        <v>8192</v>
      </c>
      <c r="P20" s="50">
        <f t="shared" si="2"/>
        <v>327.68</v>
      </c>
      <c r="Q20" s="22">
        <f t="shared" si="4"/>
        <v>998.3733333333332</v>
      </c>
      <c r="R20" s="51">
        <f t="shared" si="3"/>
        <v>0</v>
      </c>
      <c r="S20" s="69"/>
    </row>
    <row r="21" spans="1:19" ht="11.25" customHeight="1">
      <c r="A21" s="17">
        <v>18</v>
      </c>
      <c r="B21" s="8">
        <v>18</v>
      </c>
      <c r="C21" s="8">
        <v>0</v>
      </c>
      <c r="D21" s="8">
        <v>19</v>
      </c>
      <c r="E21" s="8">
        <v>18</v>
      </c>
      <c r="F21" s="8">
        <v>8192</v>
      </c>
      <c r="G21" s="32">
        <f t="shared" si="0"/>
        <v>327.68</v>
      </c>
      <c r="H21" s="33">
        <f t="shared" si="1"/>
        <v>1647.7866666666669</v>
      </c>
      <c r="I21" s="11"/>
      <c r="J21" s="20">
        <v>13</v>
      </c>
      <c r="K21" s="21">
        <v>13</v>
      </c>
      <c r="L21" s="21">
        <v>0</v>
      </c>
      <c r="M21" s="21">
        <v>14</v>
      </c>
      <c r="N21" s="21">
        <v>13</v>
      </c>
      <c r="O21" s="21">
        <v>7168</v>
      </c>
      <c r="P21" s="50">
        <f t="shared" si="2"/>
        <v>286.72</v>
      </c>
      <c r="Q21" s="22">
        <f t="shared" si="4"/>
        <v>1058.5066666666667</v>
      </c>
      <c r="R21" s="51">
        <f t="shared" si="3"/>
        <v>0</v>
      </c>
      <c r="S21" s="67">
        <f>SUM(O21:O22)</f>
        <v>14848</v>
      </c>
    </row>
    <row r="22" spans="1:19" ht="11.25" customHeight="1">
      <c r="A22" s="17">
        <v>19</v>
      </c>
      <c r="B22" s="8">
        <v>19</v>
      </c>
      <c r="C22" s="8">
        <v>0</v>
      </c>
      <c r="D22" s="8">
        <v>20</v>
      </c>
      <c r="E22" s="8">
        <v>19</v>
      </c>
      <c r="F22" s="8">
        <v>4096</v>
      </c>
      <c r="G22" s="32">
        <f t="shared" si="0"/>
        <v>163.84</v>
      </c>
      <c r="H22" s="33">
        <f t="shared" si="1"/>
        <v>1681.9200000000003</v>
      </c>
      <c r="I22" s="11"/>
      <c r="J22" s="20">
        <v>12</v>
      </c>
      <c r="K22" s="21">
        <v>12</v>
      </c>
      <c r="L22" s="21">
        <v>0</v>
      </c>
      <c r="M22" s="21">
        <v>13</v>
      </c>
      <c r="N22" s="21">
        <v>12</v>
      </c>
      <c r="O22" s="21">
        <v>7680</v>
      </c>
      <c r="P22" s="50">
        <f t="shared" si="2"/>
        <v>307.2</v>
      </c>
      <c r="Q22" s="22">
        <f t="shared" si="4"/>
        <v>1122.9066666666668</v>
      </c>
      <c r="R22" s="51">
        <f t="shared" si="3"/>
        <v>0</v>
      </c>
      <c r="S22" s="69"/>
    </row>
    <row r="23" spans="1:19" ht="11.25" customHeight="1">
      <c r="A23" s="17">
        <v>20</v>
      </c>
      <c r="B23" s="8">
        <v>20</v>
      </c>
      <c r="C23" s="8">
        <v>0</v>
      </c>
      <c r="D23" s="8">
        <v>21</v>
      </c>
      <c r="E23" s="8">
        <v>20</v>
      </c>
      <c r="F23" s="8">
        <v>7680</v>
      </c>
      <c r="G23" s="32">
        <f t="shared" si="0"/>
        <v>307.2</v>
      </c>
      <c r="H23" s="33">
        <f t="shared" si="1"/>
        <v>1745.9200000000003</v>
      </c>
      <c r="I23" s="11"/>
      <c r="J23" s="20">
        <v>16</v>
      </c>
      <c r="K23" s="21">
        <v>16</v>
      </c>
      <c r="L23" s="21">
        <v>0</v>
      </c>
      <c r="M23" s="21">
        <v>17</v>
      </c>
      <c r="N23" s="21">
        <v>16</v>
      </c>
      <c r="O23" s="21">
        <v>6656</v>
      </c>
      <c r="P23" s="50">
        <f t="shared" si="2"/>
        <v>266.24</v>
      </c>
      <c r="Q23" s="22">
        <f t="shared" si="4"/>
        <v>1178.7733333333333</v>
      </c>
      <c r="R23" s="51">
        <f t="shared" si="3"/>
        <v>0</v>
      </c>
      <c r="S23" s="67">
        <f>SUM(O23:O24)</f>
        <v>14336</v>
      </c>
    </row>
    <row r="24" spans="1:19" ht="11.25" customHeight="1">
      <c r="A24" s="17">
        <v>21</v>
      </c>
      <c r="B24" s="8">
        <v>21</v>
      </c>
      <c r="C24" s="8">
        <v>0</v>
      </c>
      <c r="D24" s="8">
        <v>22</v>
      </c>
      <c r="E24" s="8">
        <v>21</v>
      </c>
      <c r="F24" s="8">
        <v>8192</v>
      </c>
      <c r="G24" s="32">
        <f t="shared" si="0"/>
        <v>327.68</v>
      </c>
      <c r="H24" s="33">
        <f t="shared" si="1"/>
        <v>1814.186666666667</v>
      </c>
      <c r="I24" s="11"/>
      <c r="J24" s="20">
        <v>17</v>
      </c>
      <c r="K24" s="21">
        <v>17</v>
      </c>
      <c r="L24" s="21">
        <v>0</v>
      </c>
      <c r="M24" s="21">
        <v>18</v>
      </c>
      <c r="N24" s="21">
        <v>17</v>
      </c>
      <c r="O24" s="21">
        <v>7680</v>
      </c>
      <c r="P24" s="50">
        <f t="shared" si="2"/>
        <v>307.2</v>
      </c>
      <c r="Q24" s="22">
        <f t="shared" si="4"/>
        <v>1243.1733333333334</v>
      </c>
      <c r="R24" s="51">
        <f t="shared" si="3"/>
        <v>0</v>
      </c>
      <c r="S24" s="69"/>
    </row>
    <row r="25" spans="1:19" ht="11.25" customHeight="1">
      <c r="A25" s="17">
        <v>22</v>
      </c>
      <c r="B25" s="8">
        <v>22</v>
      </c>
      <c r="C25" s="8">
        <v>0</v>
      </c>
      <c r="D25" s="8">
        <v>23</v>
      </c>
      <c r="E25" s="8">
        <v>22</v>
      </c>
      <c r="F25" s="8">
        <v>4096</v>
      </c>
      <c r="G25" s="32">
        <f t="shared" si="0"/>
        <v>163.84</v>
      </c>
      <c r="H25" s="33">
        <f t="shared" si="1"/>
        <v>1848.3200000000004</v>
      </c>
      <c r="I25" s="11"/>
      <c r="J25" s="20">
        <v>1</v>
      </c>
      <c r="K25" s="21">
        <v>1</v>
      </c>
      <c r="L25" s="21">
        <v>0</v>
      </c>
      <c r="M25" s="21">
        <v>2</v>
      </c>
      <c r="N25" s="21">
        <v>1</v>
      </c>
      <c r="O25" s="21">
        <v>12288</v>
      </c>
      <c r="P25" s="50">
        <f t="shared" si="2"/>
        <v>491.52</v>
      </c>
      <c r="Q25" s="22">
        <f t="shared" si="4"/>
        <v>1345.9733333333334</v>
      </c>
      <c r="R25" s="51">
        <f t="shared" si="3"/>
        <v>0</v>
      </c>
      <c r="S25" s="46">
        <f>O25</f>
        <v>12288</v>
      </c>
    </row>
    <row r="26" spans="1:20" ht="11.25" customHeight="1">
      <c r="A26" s="17">
        <v>23</v>
      </c>
      <c r="B26" s="8">
        <v>23</v>
      </c>
      <c r="C26" s="8">
        <v>0</v>
      </c>
      <c r="D26" s="8">
        <v>24</v>
      </c>
      <c r="E26" s="8">
        <v>23</v>
      </c>
      <c r="F26" s="8">
        <v>2048</v>
      </c>
      <c r="G26" s="32">
        <f t="shared" si="0"/>
        <v>81.92</v>
      </c>
      <c r="H26" s="33">
        <f t="shared" si="1"/>
        <v>1865.386666666667</v>
      </c>
      <c r="I26" s="11"/>
      <c r="J26" s="26">
        <v>9</v>
      </c>
      <c r="K26" s="27">
        <v>9</v>
      </c>
      <c r="L26" s="27">
        <v>0</v>
      </c>
      <c r="M26" s="27">
        <v>10</v>
      </c>
      <c r="N26" s="27">
        <v>9</v>
      </c>
      <c r="O26" s="27">
        <v>12288</v>
      </c>
      <c r="P26" s="52">
        <f t="shared" si="2"/>
        <v>491.52</v>
      </c>
      <c r="Q26" s="28">
        <f t="shared" si="4"/>
        <v>1448.7733333333333</v>
      </c>
      <c r="R26" s="53">
        <f t="shared" si="3"/>
        <v>0</v>
      </c>
      <c r="S26" s="46">
        <f>O26</f>
        <v>12288</v>
      </c>
      <c r="T26" s="3">
        <f>SUM(O4:O26)</f>
        <v>153088</v>
      </c>
    </row>
    <row r="27" spans="1:19" ht="11.25" customHeight="1">
      <c r="A27" s="17">
        <v>24</v>
      </c>
      <c r="B27" s="8">
        <v>24</v>
      </c>
      <c r="C27" s="8">
        <v>0</v>
      </c>
      <c r="D27" s="8">
        <v>25</v>
      </c>
      <c r="E27" s="8">
        <v>24</v>
      </c>
      <c r="F27" s="8">
        <v>2048</v>
      </c>
      <c r="G27" s="32">
        <f t="shared" si="0"/>
        <v>81.92</v>
      </c>
      <c r="H27" s="33">
        <f t="shared" si="1"/>
        <v>1882.4533333333336</v>
      </c>
      <c r="I27" s="11"/>
      <c r="J27" s="23">
        <v>41</v>
      </c>
      <c r="K27" s="24">
        <v>15</v>
      </c>
      <c r="L27" s="24">
        <v>1</v>
      </c>
      <c r="M27" s="24">
        <v>16</v>
      </c>
      <c r="N27" s="24">
        <v>47</v>
      </c>
      <c r="O27" s="24">
        <v>6144</v>
      </c>
      <c r="P27" s="48">
        <f t="shared" si="2"/>
        <v>245.76</v>
      </c>
      <c r="Q27" s="25">
        <f>P27+(O27+Trailer_length)/FFI_Speed</f>
        <v>297.36</v>
      </c>
      <c r="R27" s="43"/>
      <c r="S27" s="67">
        <f>SUM(O27:O29)</f>
        <v>14848</v>
      </c>
    </row>
    <row r="28" spans="1:19" ht="11.25" customHeight="1">
      <c r="A28" s="17">
        <v>25</v>
      </c>
      <c r="B28" s="8">
        <v>25</v>
      </c>
      <c r="C28" s="8">
        <v>0</v>
      </c>
      <c r="D28" s="8">
        <v>26</v>
      </c>
      <c r="E28" s="8">
        <v>25</v>
      </c>
      <c r="F28" s="8">
        <v>2048</v>
      </c>
      <c r="G28" s="32">
        <f t="shared" si="0"/>
        <v>81.92</v>
      </c>
      <c r="H28" s="33">
        <f t="shared" si="1"/>
        <v>1899.5200000000002</v>
      </c>
      <c r="I28" s="11"/>
      <c r="J28" s="20">
        <v>40</v>
      </c>
      <c r="K28" s="21">
        <v>14</v>
      </c>
      <c r="L28" s="21">
        <v>1</v>
      </c>
      <c r="M28" s="21">
        <v>15</v>
      </c>
      <c r="N28" s="21">
        <v>46</v>
      </c>
      <c r="O28" s="21">
        <v>6656</v>
      </c>
      <c r="P28" s="50">
        <f t="shared" si="2"/>
        <v>266.24</v>
      </c>
      <c r="Q28" s="22">
        <f aca="true" t="shared" si="5" ref="Q28:Q45">MAX(Q27,P28)+(O28+Trailer_length)/FFI_Speed</f>
        <v>353.2266666666667</v>
      </c>
      <c r="R28" s="44">
        <f aca="true" t="shared" si="6" ref="R28:R45">IF(P28-Q27&gt;0,P28-Q27,0)</f>
        <v>0</v>
      </c>
      <c r="S28" s="68"/>
    </row>
    <row r="29" spans="1:19" ht="11.25" customHeight="1">
      <c r="A29" s="5">
        <v>26</v>
      </c>
      <c r="B29" s="6">
        <v>26</v>
      </c>
      <c r="C29" s="6">
        <v>0</v>
      </c>
      <c r="D29" s="6">
        <v>27</v>
      </c>
      <c r="E29" s="6">
        <v>26</v>
      </c>
      <c r="F29" s="6">
        <v>2048</v>
      </c>
      <c r="G29" s="34">
        <f t="shared" si="0"/>
        <v>81.92</v>
      </c>
      <c r="H29" s="35">
        <f t="shared" si="1"/>
        <v>1916.5866666666668</v>
      </c>
      <c r="I29" s="11"/>
      <c r="J29" s="10">
        <v>23</v>
      </c>
      <c r="K29" s="15">
        <v>23</v>
      </c>
      <c r="L29" s="15">
        <v>0</v>
      </c>
      <c r="M29" s="15">
        <v>24</v>
      </c>
      <c r="N29" s="15">
        <v>23</v>
      </c>
      <c r="O29" s="15">
        <v>2048</v>
      </c>
      <c r="P29" s="50">
        <f t="shared" si="2"/>
        <v>81.92</v>
      </c>
      <c r="Q29" s="22">
        <f t="shared" si="5"/>
        <v>370.6933333333333</v>
      </c>
      <c r="R29" s="44">
        <f t="shared" si="6"/>
        <v>0</v>
      </c>
      <c r="S29" s="69"/>
    </row>
    <row r="30" spans="1:19" ht="11.25" customHeight="1">
      <c r="A30" s="12">
        <v>27</v>
      </c>
      <c r="B30" s="8">
        <v>1</v>
      </c>
      <c r="C30" s="8">
        <v>1</v>
      </c>
      <c r="D30" s="8">
        <v>2</v>
      </c>
      <c r="E30" s="8">
        <v>27</v>
      </c>
      <c r="F30" s="8">
        <v>12288</v>
      </c>
      <c r="G30" s="32">
        <f t="shared" si="0"/>
        <v>491.52</v>
      </c>
      <c r="H30" s="33">
        <f>G30+F30/120</f>
        <v>593.92</v>
      </c>
      <c r="I30" s="11"/>
      <c r="J30" s="20">
        <v>28</v>
      </c>
      <c r="K30" s="21">
        <v>2</v>
      </c>
      <c r="L30" s="21">
        <v>1</v>
      </c>
      <c r="M30" s="21">
        <v>3</v>
      </c>
      <c r="N30" s="21">
        <v>28</v>
      </c>
      <c r="O30" s="21">
        <v>6144</v>
      </c>
      <c r="P30" s="50">
        <f t="shared" si="2"/>
        <v>245.76</v>
      </c>
      <c r="Q30" s="22">
        <f t="shared" si="5"/>
        <v>422.29333333333335</v>
      </c>
      <c r="R30" s="44">
        <f t="shared" si="6"/>
        <v>0</v>
      </c>
      <c r="S30" s="67">
        <f>SUM(O30:O31)</f>
        <v>14336</v>
      </c>
    </row>
    <row r="31" spans="1:19" ht="11.25" customHeight="1">
      <c r="A31" s="12">
        <v>28</v>
      </c>
      <c r="B31" s="8">
        <v>2</v>
      </c>
      <c r="C31" s="8">
        <v>1</v>
      </c>
      <c r="D31" s="8">
        <v>3</v>
      </c>
      <c r="E31" s="8">
        <v>28</v>
      </c>
      <c r="F31" s="8">
        <v>6144</v>
      </c>
      <c r="G31" s="32">
        <f t="shared" si="0"/>
        <v>245.76</v>
      </c>
      <c r="H31" s="33">
        <f aca="true" t="shared" si="7" ref="H31:H45">MAX(H30,G31)+F31/120</f>
        <v>645.12</v>
      </c>
      <c r="I31" s="11"/>
      <c r="J31" s="20">
        <v>29</v>
      </c>
      <c r="K31" s="21">
        <v>3</v>
      </c>
      <c r="L31" s="21">
        <v>1</v>
      </c>
      <c r="M31" s="21">
        <v>4</v>
      </c>
      <c r="N31" s="21">
        <v>29</v>
      </c>
      <c r="O31" s="21">
        <v>8192</v>
      </c>
      <c r="P31" s="50">
        <f t="shared" si="2"/>
        <v>327.68</v>
      </c>
      <c r="Q31" s="22">
        <f t="shared" si="5"/>
        <v>490.96000000000004</v>
      </c>
      <c r="R31" s="44">
        <f t="shared" si="6"/>
        <v>0</v>
      </c>
      <c r="S31" s="69"/>
    </row>
    <row r="32" spans="1:19" ht="11.25" customHeight="1">
      <c r="A32" s="12">
        <v>29</v>
      </c>
      <c r="B32" s="8">
        <v>3</v>
      </c>
      <c r="C32" s="8">
        <v>1</v>
      </c>
      <c r="D32" s="8">
        <v>4</v>
      </c>
      <c r="E32" s="8">
        <v>29</v>
      </c>
      <c r="F32" s="8">
        <v>8192</v>
      </c>
      <c r="G32" s="32">
        <f t="shared" si="0"/>
        <v>327.68</v>
      </c>
      <c r="H32" s="33">
        <f t="shared" si="7"/>
        <v>713.3866666666667</v>
      </c>
      <c r="I32" s="11"/>
      <c r="J32" s="20">
        <v>33</v>
      </c>
      <c r="K32" s="21">
        <v>7</v>
      </c>
      <c r="L32" s="21">
        <v>1</v>
      </c>
      <c r="M32" s="21">
        <v>8</v>
      </c>
      <c r="N32" s="21">
        <v>39</v>
      </c>
      <c r="O32" s="21">
        <v>6144</v>
      </c>
      <c r="P32" s="50">
        <f t="shared" si="2"/>
        <v>245.76</v>
      </c>
      <c r="Q32" s="22">
        <f t="shared" si="5"/>
        <v>542.5600000000001</v>
      </c>
      <c r="R32" s="44">
        <f t="shared" si="6"/>
        <v>0</v>
      </c>
      <c r="S32" s="67">
        <f>SUM(O32:O33)</f>
        <v>14336</v>
      </c>
    </row>
    <row r="33" spans="1:19" ht="11.25" customHeight="1">
      <c r="A33" s="12">
        <v>30</v>
      </c>
      <c r="B33" s="8">
        <v>4</v>
      </c>
      <c r="C33" s="8">
        <v>1</v>
      </c>
      <c r="D33" s="8">
        <v>5</v>
      </c>
      <c r="E33" s="8">
        <v>36</v>
      </c>
      <c r="F33" s="8">
        <v>7680</v>
      </c>
      <c r="G33" s="32">
        <f t="shared" si="0"/>
        <v>307.2</v>
      </c>
      <c r="H33" s="33">
        <f t="shared" si="7"/>
        <v>777.3866666666667</v>
      </c>
      <c r="I33" s="11"/>
      <c r="J33" s="20">
        <v>36</v>
      </c>
      <c r="K33" s="21">
        <v>10</v>
      </c>
      <c r="L33" s="21">
        <v>1</v>
      </c>
      <c r="M33" s="21">
        <v>11</v>
      </c>
      <c r="N33" s="21">
        <v>42</v>
      </c>
      <c r="O33" s="21">
        <v>8192</v>
      </c>
      <c r="P33" s="50">
        <f t="shared" si="2"/>
        <v>327.68</v>
      </c>
      <c r="Q33" s="22">
        <f t="shared" si="5"/>
        <v>611.2266666666667</v>
      </c>
      <c r="R33" s="44">
        <f t="shared" si="6"/>
        <v>0</v>
      </c>
      <c r="S33" s="69"/>
    </row>
    <row r="34" spans="1:19" ht="11.25" customHeight="1">
      <c r="A34" s="12">
        <v>31</v>
      </c>
      <c r="B34" s="8">
        <v>5</v>
      </c>
      <c r="C34" s="8">
        <v>1</v>
      </c>
      <c r="D34" s="8">
        <v>6</v>
      </c>
      <c r="E34" s="8">
        <v>37</v>
      </c>
      <c r="F34" s="8">
        <v>7168</v>
      </c>
      <c r="G34" s="32">
        <f t="shared" si="0"/>
        <v>286.72</v>
      </c>
      <c r="H34" s="33">
        <f t="shared" si="7"/>
        <v>837.12</v>
      </c>
      <c r="I34" s="11"/>
      <c r="J34" s="20">
        <v>38</v>
      </c>
      <c r="K34" s="21">
        <v>12</v>
      </c>
      <c r="L34" s="21">
        <v>1</v>
      </c>
      <c r="M34" s="21">
        <v>13</v>
      </c>
      <c r="N34" s="21">
        <v>44</v>
      </c>
      <c r="O34" s="21">
        <v>7168</v>
      </c>
      <c r="P34" s="50">
        <f t="shared" si="2"/>
        <v>286.72</v>
      </c>
      <c r="Q34" s="22">
        <f t="shared" si="5"/>
        <v>671.36</v>
      </c>
      <c r="R34" s="44">
        <f t="shared" si="6"/>
        <v>0</v>
      </c>
      <c r="S34" s="67">
        <f>SUM(O34:O35)</f>
        <v>14336</v>
      </c>
    </row>
    <row r="35" spans="1:19" ht="11.25" customHeight="1">
      <c r="A35" s="12">
        <v>32</v>
      </c>
      <c r="B35" s="8">
        <v>6</v>
      </c>
      <c r="C35" s="8">
        <v>1</v>
      </c>
      <c r="D35" s="8">
        <v>7</v>
      </c>
      <c r="E35" s="8">
        <v>38</v>
      </c>
      <c r="F35" s="8">
        <v>6656</v>
      </c>
      <c r="G35" s="32">
        <f t="shared" si="0"/>
        <v>266.24</v>
      </c>
      <c r="H35" s="33">
        <f t="shared" si="7"/>
        <v>892.5866666666667</v>
      </c>
      <c r="I35" s="11"/>
      <c r="J35" s="20">
        <v>31</v>
      </c>
      <c r="K35" s="21">
        <v>5</v>
      </c>
      <c r="L35" s="21">
        <v>1</v>
      </c>
      <c r="M35" s="21">
        <v>6</v>
      </c>
      <c r="N35" s="21">
        <v>37</v>
      </c>
      <c r="O35" s="21">
        <v>7168</v>
      </c>
      <c r="P35" s="50">
        <f t="shared" si="2"/>
        <v>286.72</v>
      </c>
      <c r="Q35" s="22">
        <f t="shared" si="5"/>
        <v>731.4933333333333</v>
      </c>
      <c r="R35" s="44">
        <f t="shared" si="6"/>
        <v>0</v>
      </c>
      <c r="S35" s="69"/>
    </row>
    <row r="36" spans="1:19" ht="11.25" customHeight="1">
      <c r="A36" s="12">
        <v>33</v>
      </c>
      <c r="B36" s="8">
        <v>7</v>
      </c>
      <c r="C36" s="8">
        <v>1</v>
      </c>
      <c r="D36" s="8">
        <v>8</v>
      </c>
      <c r="E36" s="8">
        <v>39</v>
      </c>
      <c r="F36" s="8">
        <v>6144</v>
      </c>
      <c r="G36" s="32">
        <f t="shared" si="0"/>
        <v>245.76</v>
      </c>
      <c r="H36" s="33">
        <f t="shared" si="7"/>
        <v>943.7866666666667</v>
      </c>
      <c r="I36" s="11"/>
      <c r="J36" s="20">
        <v>42</v>
      </c>
      <c r="K36" s="21">
        <v>16</v>
      </c>
      <c r="L36" s="21">
        <v>1</v>
      </c>
      <c r="M36" s="21">
        <v>17</v>
      </c>
      <c r="N36" s="21">
        <v>48</v>
      </c>
      <c r="O36" s="21">
        <v>6656</v>
      </c>
      <c r="P36" s="50">
        <f t="shared" si="2"/>
        <v>266.24</v>
      </c>
      <c r="Q36" s="22">
        <f t="shared" si="5"/>
        <v>787.36</v>
      </c>
      <c r="R36" s="44">
        <f t="shared" si="6"/>
        <v>0</v>
      </c>
      <c r="S36" s="67">
        <f>SUM(O36:O37)</f>
        <v>14848</v>
      </c>
    </row>
    <row r="37" spans="1:19" ht="11.25" customHeight="1">
      <c r="A37" s="12">
        <v>34</v>
      </c>
      <c r="B37" s="8">
        <v>8</v>
      </c>
      <c r="C37" s="8">
        <v>1</v>
      </c>
      <c r="D37" s="8">
        <v>9</v>
      </c>
      <c r="E37" s="8">
        <v>40</v>
      </c>
      <c r="F37" s="8">
        <v>6656</v>
      </c>
      <c r="G37" s="32">
        <f t="shared" si="0"/>
        <v>266.24</v>
      </c>
      <c r="H37" s="33">
        <f t="shared" si="7"/>
        <v>999.2533333333334</v>
      </c>
      <c r="I37" s="11"/>
      <c r="J37" s="20">
        <v>37</v>
      </c>
      <c r="K37" s="21">
        <v>11</v>
      </c>
      <c r="L37" s="21">
        <v>1</v>
      </c>
      <c r="M37" s="21">
        <v>12</v>
      </c>
      <c r="N37" s="21">
        <v>43</v>
      </c>
      <c r="O37" s="21">
        <v>8192</v>
      </c>
      <c r="P37" s="50">
        <f t="shared" si="2"/>
        <v>327.68</v>
      </c>
      <c r="Q37" s="22">
        <f t="shared" si="5"/>
        <v>856.0266666666666</v>
      </c>
      <c r="R37" s="44">
        <f t="shared" si="6"/>
        <v>0</v>
      </c>
      <c r="S37" s="69"/>
    </row>
    <row r="38" spans="1:19" ht="11.25" customHeight="1">
      <c r="A38" s="12">
        <v>35</v>
      </c>
      <c r="B38" s="8">
        <v>9</v>
      </c>
      <c r="C38" s="8">
        <v>1</v>
      </c>
      <c r="D38" s="8">
        <v>10</v>
      </c>
      <c r="E38" s="8">
        <v>41</v>
      </c>
      <c r="F38" s="8">
        <v>12288</v>
      </c>
      <c r="G38" s="32">
        <f t="shared" si="0"/>
        <v>491.52</v>
      </c>
      <c r="H38" s="33">
        <f t="shared" si="7"/>
        <v>1101.6533333333334</v>
      </c>
      <c r="I38" s="11"/>
      <c r="J38" s="20">
        <v>39</v>
      </c>
      <c r="K38" s="21">
        <v>13</v>
      </c>
      <c r="L38" s="21">
        <v>1</v>
      </c>
      <c r="M38" s="21">
        <v>14</v>
      </c>
      <c r="N38" s="21">
        <v>45</v>
      </c>
      <c r="O38" s="21">
        <v>6656</v>
      </c>
      <c r="P38" s="50">
        <f t="shared" si="2"/>
        <v>266.24</v>
      </c>
      <c r="Q38" s="22">
        <f t="shared" si="5"/>
        <v>911.8933333333333</v>
      </c>
      <c r="R38" s="44">
        <f t="shared" si="6"/>
        <v>0</v>
      </c>
      <c r="S38" s="67">
        <f>SUM(O38:O39)</f>
        <v>14336</v>
      </c>
    </row>
    <row r="39" spans="1:19" ht="11.25" customHeight="1">
      <c r="A39" s="12">
        <v>36</v>
      </c>
      <c r="B39" s="8">
        <v>10</v>
      </c>
      <c r="C39" s="8">
        <v>1</v>
      </c>
      <c r="D39" s="8">
        <v>11</v>
      </c>
      <c r="E39" s="8">
        <v>42</v>
      </c>
      <c r="F39" s="8">
        <v>8192</v>
      </c>
      <c r="G39" s="32">
        <f t="shared" si="0"/>
        <v>327.68</v>
      </c>
      <c r="H39" s="33">
        <f t="shared" si="7"/>
        <v>1169.92</v>
      </c>
      <c r="I39" s="11"/>
      <c r="J39" s="20">
        <v>30</v>
      </c>
      <c r="K39" s="21">
        <v>4</v>
      </c>
      <c r="L39" s="21">
        <v>1</v>
      </c>
      <c r="M39" s="21">
        <v>5</v>
      </c>
      <c r="N39" s="21">
        <v>36</v>
      </c>
      <c r="O39" s="21">
        <v>7680</v>
      </c>
      <c r="P39" s="50">
        <f t="shared" si="2"/>
        <v>307.2</v>
      </c>
      <c r="Q39" s="22">
        <f t="shared" si="5"/>
        <v>976.2933333333333</v>
      </c>
      <c r="R39" s="44">
        <f t="shared" si="6"/>
        <v>0</v>
      </c>
      <c r="S39" s="69"/>
    </row>
    <row r="40" spans="1:19" ht="11.25" customHeight="1">
      <c r="A40" s="12">
        <v>37</v>
      </c>
      <c r="B40" s="8">
        <v>11</v>
      </c>
      <c r="C40" s="8">
        <v>1</v>
      </c>
      <c r="D40" s="8">
        <v>12</v>
      </c>
      <c r="E40" s="8">
        <v>43</v>
      </c>
      <c r="F40" s="8">
        <v>8192</v>
      </c>
      <c r="G40" s="32">
        <f t="shared" si="0"/>
        <v>327.68</v>
      </c>
      <c r="H40" s="33">
        <f t="shared" si="7"/>
        <v>1238.1866666666667</v>
      </c>
      <c r="I40" s="11"/>
      <c r="J40" s="20">
        <v>32</v>
      </c>
      <c r="K40" s="21">
        <v>6</v>
      </c>
      <c r="L40" s="21">
        <v>1</v>
      </c>
      <c r="M40" s="21">
        <v>7</v>
      </c>
      <c r="N40" s="21">
        <v>38</v>
      </c>
      <c r="O40" s="21">
        <v>6656</v>
      </c>
      <c r="P40" s="50">
        <f t="shared" si="2"/>
        <v>266.24</v>
      </c>
      <c r="Q40" s="22">
        <f t="shared" si="5"/>
        <v>1032.1599999999999</v>
      </c>
      <c r="R40" s="44">
        <f t="shared" si="6"/>
        <v>0</v>
      </c>
      <c r="S40" s="67">
        <f>SUM(O40:O41)</f>
        <v>14336</v>
      </c>
    </row>
    <row r="41" spans="1:19" ht="11.25" customHeight="1">
      <c r="A41" s="12">
        <v>38</v>
      </c>
      <c r="B41" s="8">
        <v>12</v>
      </c>
      <c r="C41" s="8">
        <v>1</v>
      </c>
      <c r="D41" s="8">
        <v>13</v>
      </c>
      <c r="E41" s="8">
        <v>44</v>
      </c>
      <c r="F41" s="8">
        <v>7168</v>
      </c>
      <c r="G41" s="32">
        <f t="shared" si="0"/>
        <v>286.72</v>
      </c>
      <c r="H41" s="33">
        <f t="shared" si="7"/>
        <v>1297.92</v>
      </c>
      <c r="I41" s="11"/>
      <c r="J41" s="10">
        <v>20</v>
      </c>
      <c r="K41" s="15">
        <v>20</v>
      </c>
      <c r="L41" s="15">
        <v>0</v>
      </c>
      <c r="M41" s="15">
        <v>21</v>
      </c>
      <c r="N41" s="15">
        <v>20</v>
      </c>
      <c r="O41" s="15">
        <v>7680</v>
      </c>
      <c r="P41" s="50">
        <f t="shared" si="2"/>
        <v>307.2</v>
      </c>
      <c r="Q41" s="22">
        <f t="shared" si="5"/>
        <v>1096.56</v>
      </c>
      <c r="R41" s="44">
        <f t="shared" si="6"/>
        <v>0</v>
      </c>
      <c r="S41" s="69"/>
    </row>
    <row r="42" spans="1:19" ht="11.25" customHeight="1">
      <c r="A42" s="12">
        <v>39</v>
      </c>
      <c r="B42" s="8">
        <v>13</v>
      </c>
      <c r="C42" s="8">
        <v>1</v>
      </c>
      <c r="D42" s="8">
        <v>14</v>
      </c>
      <c r="E42" s="8">
        <v>45</v>
      </c>
      <c r="F42" s="8">
        <v>6656</v>
      </c>
      <c r="G42" s="32">
        <f t="shared" si="0"/>
        <v>266.24</v>
      </c>
      <c r="H42" s="33">
        <f t="shared" si="7"/>
        <v>1353.3866666666668</v>
      </c>
      <c r="I42" s="11"/>
      <c r="J42" s="20">
        <v>34</v>
      </c>
      <c r="K42" s="21">
        <v>8</v>
      </c>
      <c r="L42" s="21">
        <v>1</v>
      </c>
      <c r="M42" s="21">
        <v>9</v>
      </c>
      <c r="N42" s="21">
        <v>40</v>
      </c>
      <c r="O42" s="21">
        <v>6656</v>
      </c>
      <c r="P42" s="50">
        <f t="shared" si="2"/>
        <v>266.24</v>
      </c>
      <c r="Q42" s="22">
        <f t="shared" si="5"/>
        <v>1152.4266666666665</v>
      </c>
      <c r="R42" s="44">
        <f t="shared" si="6"/>
        <v>0</v>
      </c>
      <c r="S42" s="67">
        <f>SUM(O42:O43)</f>
        <v>14848</v>
      </c>
    </row>
    <row r="43" spans="1:19" ht="11.25" customHeight="1">
      <c r="A43" s="12">
        <v>40</v>
      </c>
      <c r="B43" s="8">
        <v>14</v>
      </c>
      <c r="C43" s="8">
        <v>1</v>
      </c>
      <c r="D43" s="8">
        <v>15</v>
      </c>
      <c r="E43" s="8">
        <v>46</v>
      </c>
      <c r="F43" s="8">
        <v>6656</v>
      </c>
      <c r="G43" s="32">
        <f t="shared" si="0"/>
        <v>266.24</v>
      </c>
      <c r="H43" s="33">
        <f t="shared" si="7"/>
        <v>1408.8533333333335</v>
      </c>
      <c r="I43" s="11"/>
      <c r="J43" s="10">
        <v>21</v>
      </c>
      <c r="K43" s="15">
        <v>21</v>
      </c>
      <c r="L43" s="15">
        <v>0</v>
      </c>
      <c r="M43" s="15">
        <v>22</v>
      </c>
      <c r="N43" s="15">
        <v>21</v>
      </c>
      <c r="O43" s="15">
        <v>8192</v>
      </c>
      <c r="P43" s="50">
        <f t="shared" si="2"/>
        <v>327.68</v>
      </c>
      <c r="Q43" s="22">
        <f t="shared" si="5"/>
        <v>1221.0933333333332</v>
      </c>
      <c r="R43" s="44">
        <f t="shared" si="6"/>
        <v>0</v>
      </c>
      <c r="S43" s="69"/>
    </row>
    <row r="44" spans="1:19" ht="11.25" customHeight="1">
      <c r="A44" s="12">
        <v>41</v>
      </c>
      <c r="B44" s="8">
        <v>15</v>
      </c>
      <c r="C44" s="8">
        <v>1</v>
      </c>
      <c r="D44" s="8">
        <v>16</v>
      </c>
      <c r="E44" s="8">
        <v>47</v>
      </c>
      <c r="F44" s="8">
        <v>6144</v>
      </c>
      <c r="G44" s="32">
        <f t="shared" si="0"/>
        <v>245.76</v>
      </c>
      <c r="H44" s="33">
        <f t="shared" si="7"/>
        <v>1460.0533333333335</v>
      </c>
      <c r="I44" s="11"/>
      <c r="J44" s="20">
        <v>27</v>
      </c>
      <c r="K44" s="21">
        <v>1</v>
      </c>
      <c r="L44" s="21">
        <v>1</v>
      </c>
      <c r="M44" s="21">
        <v>2</v>
      </c>
      <c r="N44" s="21">
        <v>27</v>
      </c>
      <c r="O44" s="21">
        <v>12288</v>
      </c>
      <c r="P44" s="50">
        <f t="shared" si="2"/>
        <v>491.52</v>
      </c>
      <c r="Q44" s="22">
        <f t="shared" si="5"/>
        <v>1323.8933333333332</v>
      </c>
      <c r="R44" s="44">
        <f t="shared" si="6"/>
        <v>0</v>
      </c>
      <c r="S44" s="46">
        <f>O44</f>
        <v>12288</v>
      </c>
    </row>
    <row r="45" spans="1:20" ht="11.25" customHeight="1" thickBot="1">
      <c r="A45" s="13">
        <v>42</v>
      </c>
      <c r="B45" s="14">
        <v>16</v>
      </c>
      <c r="C45" s="14">
        <v>1</v>
      </c>
      <c r="D45" s="14">
        <v>17</v>
      </c>
      <c r="E45" s="14">
        <v>48</v>
      </c>
      <c r="F45" s="14">
        <v>6656</v>
      </c>
      <c r="G45" s="34">
        <f t="shared" si="0"/>
        <v>266.24</v>
      </c>
      <c r="H45" s="35">
        <f t="shared" si="7"/>
        <v>1515.5200000000002</v>
      </c>
      <c r="I45" s="11"/>
      <c r="J45" s="26">
        <v>35</v>
      </c>
      <c r="K45" s="27">
        <v>9</v>
      </c>
      <c r="L45" s="27">
        <v>1</v>
      </c>
      <c r="M45" s="27">
        <v>10</v>
      </c>
      <c r="N45" s="27">
        <v>41</v>
      </c>
      <c r="O45" s="27">
        <v>12288</v>
      </c>
      <c r="P45" s="52">
        <f t="shared" si="2"/>
        <v>491.52</v>
      </c>
      <c r="Q45" s="28">
        <f t="shared" si="5"/>
        <v>1426.6933333333332</v>
      </c>
      <c r="R45" s="45">
        <f t="shared" si="6"/>
        <v>0</v>
      </c>
      <c r="S45" s="46">
        <f>O45</f>
        <v>12288</v>
      </c>
      <c r="T45" s="3">
        <f>SUM(O27:O45)</f>
        <v>140800</v>
      </c>
    </row>
    <row r="46" spans="6:19" ht="11.25" customHeight="1">
      <c r="F46" s="11"/>
      <c r="I46" s="11"/>
      <c r="J46" s="11"/>
      <c r="K46" s="11"/>
      <c r="L46" s="11"/>
      <c r="M46" s="11"/>
      <c r="N46" s="11"/>
      <c r="O46" s="11"/>
      <c r="P46" s="22"/>
      <c r="Q46" s="22"/>
      <c r="R46" s="19"/>
      <c r="S46" s="19"/>
    </row>
    <row r="47" spans="6:19" ht="11.25" customHeight="1">
      <c r="F47" s="11"/>
      <c r="I47" s="11"/>
      <c r="J47" s="11"/>
      <c r="K47" s="11"/>
      <c r="L47" s="11"/>
      <c r="M47" s="11"/>
      <c r="N47" s="11"/>
      <c r="O47" s="11"/>
      <c r="P47" s="22"/>
      <c r="Q47" s="22"/>
      <c r="R47" s="19"/>
      <c r="S47" s="19"/>
    </row>
    <row r="48" spans="10:19" ht="11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50" spans="10:19" ht="11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</row>
  </sheetData>
  <mergeCells count="21">
    <mergeCell ref="J1:L1"/>
    <mergeCell ref="F1:G1"/>
    <mergeCell ref="A2:F2"/>
    <mergeCell ref="S4:S7"/>
    <mergeCell ref="J2:S2"/>
    <mergeCell ref="S8:S10"/>
    <mergeCell ref="S11:S12"/>
    <mergeCell ref="S13:S14"/>
    <mergeCell ref="S15:S16"/>
    <mergeCell ref="S27:S29"/>
    <mergeCell ref="S30:S31"/>
    <mergeCell ref="S17:S18"/>
    <mergeCell ref="S19:S20"/>
    <mergeCell ref="S21:S22"/>
    <mergeCell ref="S23:S24"/>
    <mergeCell ref="S38:S39"/>
    <mergeCell ref="S40:S41"/>
    <mergeCell ref="S42:S43"/>
    <mergeCell ref="S32:S33"/>
    <mergeCell ref="S34:S35"/>
    <mergeCell ref="S36:S3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PHOBOS-BNL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Sukhanov</dc:creator>
  <cp:keywords/>
  <dc:description/>
  <cp:lastModifiedBy>Andrei Sukhanov</cp:lastModifiedBy>
  <cp:lastPrinted>2002-08-28T19:12:21Z</cp:lastPrinted>
  <dcterms:created xsi:type="dcterms:W3CDTF">2002-03-20T21:26:51Z</dcterms:created>
  <dcterms:modified xsi:type="dcterms:W3CDTF">2002-12-10T17:18:36Z</dcterms:modified>
  <cp:category/>
  <cp:version/>
  <cp:contentType/>
  <cp:contentStatus/>
</cp:coreProperties>
</file>